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66935\Desktop\"/>
    </mc:Choice>
  </mc:AlternateContent>
  <xr:revisionPtr revIDLastSave="0" documentId="13_ncr:1_{ED59E387-B03C-41B0-9635-F5EAC779F252}" xr6:coauthVersionLast="36" xr6:coauthVersionMax="36" xr10:uidLastSave="{00000000-0000-0000-0000-000000000000}"/>
  <bookViews>
    <workbookView xWindow="-108" yWindow="-108" windowWidth="23256" windowHeight="12576" tabRatio="589" activeTab="2" xr2:uid="{00000000-000D-0000-FFFF-FFFF00000000}"/>
  </bookViews>
  <sheets>
    <sheet name="PŘEHLED 2020" sheetId="1" r:id="rId1"/>
    <sheet name="PŘEHLED 2021" sheetId="6" r:id="rId2"/>
    <sheet name="PŘEHLED 2022" sheetId="8" r:id="rId3"/>
    <sheet name="PŘEHLED 2023" sheetId="9" r:id="rId4"/>
    <sheet name="PŘEHLED 2024" sheetId="10" r:id="rId5"/>
    <sheet name="SAZBY DPP,DPČ" sheetId="5" r:id="rId6"/>
    <sheet name="ROZPOČTY" sheetId="4" r:id="rId7"/>
    <sheet name="Změny 07_2022" sheetId="11" r:id="rId8"/>
  </sheets>
  <definedNames>
    <definedName name="_xlnm._FilterDatabase" localSheetId="0" hidden="1">'PŘEHLED 2020'!$A$9:$BA$44</definedName>
    <definedName name="_xlnm._FilterDatabase" localSheetId="1" hidden="1">'PŘEHLED 2021'!$A$11:$BC$60</definedName>
    <definedName name="_xlnm._FilterDatabase" localSheetId="2" hidden="1">'PŘEHLED 2022'!$A$11:$BC$63</definedName>
    <definedName name="_xlnm._FilterDatabase" localSheetId="3" hidden="1">'PŘEHLED 2023'!$A$8:$BB$50</definedName>
    <definedName name="_xlnm._FilterDatabase" localSheetId="4" hidden="1">'PŘEHLED 2024'!#REF!</definedName>
  </definedNames>
  <calcPr calcId="191029"/>
</workbook>
</file>

<file path=xl/calcChain.xml><?xml version="1.0" encoding="utf-8"?>
<calcChain xmlns="http://schemas.openxmlformats.org/spreadsheetml/2006/main">
  <c r="BB36" i="8" l="1"/>
  <c r="O36" i="8"/>
  <c r="AV76" i="8" l="1"/>
  <c r="AV50" i="9" l="1"/>
  <c r="AS50" i="9"/>
  <c r="AP50" i="9"/>
  <c r="AM50" i="9"/>
  <c r="AJ50" i="9"/>
  <c r="AG50" i="9"/>
  <c r="AD50" i="9"/>
  <c r="AV49" i="9"/>
  <c r="AS49" i="9"/>
  <c r="AP49" i="9"/>
  <c r="AM49" i="9"/>
  <c r="AJ49" i="9"/>
  <c r="AG49" i="9"/>
  <c r="AD49" i="9"/>
  <c r="AA49" i="9"/>
  <c r="BC49" i="9" s="1"/>
  <c r="X49" i="9"/>
  <c r="U49" i="9"/>
  <c r="AP48" i="9"/>
  <c r="AS48" i="9"/>
  <c r="AV48" i="9"/>
  <c r="AM48" i="9"/>
  <c r="AJ48" i="9"/>
  <c r="AG48" i="9"/>
  <c r="AD48" i="9"/>
  <c r="AA48" i="9"/>
  <c r="X48" i="9"/>
  <c r="U48" i="9"/>
  <c r="AV51" i="9"/>
  <c r="AS51" i="9"/>
  <c r="AP51" i="9"/>
  <c r="AM51" i="9"/>
  <c r="AJ51" i="9"/>
  <c r="AG51" i="9"/>
  <c r="AD51" i="9"/>
  <c r="AA51" i="9"/>
  <c r="X51" i="9"/>
  <c r="U51" i="9"/>
  <c r="P15" i="9"/>
  <c r="O15" i="9"/>
  <c r="V25" i="9"/>
  <c r="X24" i="9" s="1"/>
  <c r="Y25" i="9"/>
  <c r="Z26" i="9" s="1"/>
  <c r="AB25" i="9"/>
  <c r="AD23" i="9" s="1"/>
  <c r="AE25" i="9"/>
  <c r="AF26" i="9" s="1"/>
  <c r="AH25" i="9"/>
  <c r="AJ24" i="9" s="1"/>
  <c r="AK25" i="9"/>
  <c r="AM23" i="9" s="1"/>
  <c r="AN25" i="9"/>
  <c r="AP23" i="9" s="1"/>
  <c r="AQ25" i="9"/>
  <c r="AS24" i="9" s="1"/>
  <c r="AT25" i="9"/>
  <c r="AV24" i="9" s="1"/>
  <c r="V29" i="9"/>
  <c r="W30" i="9" s="1"/>
  <c r="Y29" i="9"/>
  <c r="Z30" i="9" s="1"/>
  <c r="AB29" i="9"/>
  <c r="AE29" i="9"/>
  <c r="AF30" i="9" s="1"/>
  <c r="AH29" i="9"/>
  <c r="AK29" i="9"/>
  <c r="AL30" i="9" s="1"/>
  <c r="AN29" i="9"/>
  <c r="AO30" i="9" s="1"/>
  <c r="AQ29" i="9"/>
  <c r="AR30" i="9" s="1"/>
  <c r="AT29" i="9"/>
  <c r="AU30" i="9" s="1"/>
  <c r="AW29" i="9"/>
  <c r="AX30" i="9" s="1"/>
  <c r="AZ29" i="9"/>
  <c r="V38" i="9"/>
  <c r="W39" i="9" s="1"/>
  <c r="Y38" i="9"/>
  <c r="AB38" i="9"/>
  <c r="AC39" i="9" s="1"/>
  <c r="AE38" i="9"/>
  <c r="AF39" i="9" s="1"/>
  <c r="AH38" i="9"/>
  <c r="AI39" i="9" s="1"/>
  <c r="AK38" i="9"/>
  <c r="AN38" i="9"/>
  <c r="AO39" i="9" s="1"/>
  <c r="AQ38" i="9"/>
  <c r="AT38" i="9"/>
  <c r="AU39" i="9" s="1"/>
  <c r="AW38" i="9"/>
  <c r="AX39" i="9" s="1"/>
  <c r="AZ38" i="9"/>
  <c r="BA39" i="9" s="1"/>
  <c r="AR39" i="9"/>
  <c r="BC34" i="8"/>
  <c r="BC26" i="9"/>
  <c r="AW25" i="9"/>
  <c r="AX26" i="9" s="1"/>
  <c r="AZ25" i="9"/>
  <c r="BB23" i="9" s="1"/>
  <c r="BB25" i="9" s="1"/>
  <c r="S25" i="9"/>
  <c r="U23" i="9" s="1"/>
  <c r="AZ33" i="9"/>
  <c r="BA34" i="9" s="1"/>
  <c r="V33" i="9"/>
  <c r="W34" i="9" s="1"/>
  <c r="Y33" i="9"/>
  <c r="AB33" i="9"/>
  <c r="AC34" i="9" s="1"/>
  <c r="AE33" i="9"/>
  <c r="AH33" i="9"/>
  <c r="AK33" i="9"/>
  <c r="AL34" i="9" s="1"/>
  <c r="AN33" i="9"/>
  <c r="AO34" i="9" s="1"/>
  <c r="AQ33" i="9"/>
  <c r="AR34" i="9" s="1"/>
  <c r="AT33" i="9"/>
  <c r="AU34" i="9" s="1"/>
  <c r="P40" i="9"/>
  <c r="O40" i="9"/>
  <c r="P36" i="9"/>
  <c r="O36" i="9"/>
  <c r="P31" i="9"/>
  <c r="O31" i="9"/>
  <c r="P27" i="9"/>
  <c r="O27" i="9"/>
  <c r="P19" i="9"/>
  <c r="O19" i="9"/>
  <c r="P11" i="9"/>
  <c r="O11" i="9"/>
  <c r="BB31" i="8"/>
  <c r="BB33" i="8" s="1"/>
  <c r="BA32" i="8"/>
  <c r="AZ33" i="8"/>
  <c r="BB32" i="8" s="1"/>
  <c r="AY32" i="8"/>
  <c r="AY31" i="8"/>
  <c r="BC31" i="8"/>
  <c r="AW33" i="8"/>
  <c r="AX34" i="8" s="1"/>
  <c r="BB69" i="8"/>
  <c r="AY69" i="8"/>
  <c r="AV69" i="8"/>
  <c r="O26" i="8"/>
  <c r="AW29" i="8"/>
  <c r="AX30" i="8" s="1"/>
  <c r="AX28" i="8" s="1"/>
  <c r="AZ29" i="8"/>
  <c r="BA30" i="8" s="1"/>
  <c r="BA28" i="8" s="1"/>
  <c r="AW62" i="8"/>
  <c r="AX63" i="8" s="1"/>
  <c r="AZ62" i="8"/>
  <c r="AW55" i="8"/>
  <c r="AZ55" i="8"/>
  <c r="BA56" i="8"/>
  <c r="AT55" i="8"/>
  <c r="P54" i="8"/>
  <c r="Q54" i="8" s="1"/>
  <c r="O54" i="8"/>
  <c r="AT17" i="8"/>
  <c r="AU18" i="8" s="1"/>
  <c r="AU16" i="8" s="1"/>
  <c r="AW17" i="8"/>
  <c r="AX18" i="8" s="1"/>
  <c r="AZ17" i="8"/>
  <c r="BA18" i="8" s="1"/>
  <c r="P15" i="8"/>
  <c r="O15" i="8"/>
  <c r="P26" i="8"/>
  <c r="P58" i="8"/>
  <c r="Q58" i="8" s="1"/>
  <c r="O58" i="8"/>
  <c r="P46" i="8"/>
  <c r="O46" i="8"/>
  <c r="P40" i="8"/>
  <c r="O40" i="8"/>
  <c r="AZ37" i="8"/>
  <c r="BA38" i="8" s="1"/>
  <c r="AW37" i="8"/>
  <c r="AT37" i="8"/>
  <c r="AU38" i="8" s="1"/>
  <c r="AZ23" i="8"/>
  <c r="BA24" i="8" s="1"/>
  <c r="BA31" i="8" s="1"/>
  <c r="BA33" i="8" s="1"/>
  <c r="AW23" i="8"/>
  <c r="AX24" i="8" s="1"/>
  <c r="AX20" i="8" s="1"/>
  <c r="AT23" i="8"/>
  <c r="P20" i="8"/>
  <c r="O20" i="8"/>
  <c r="P21" i="8"/>
  <c r="O21" i="8"/>
  <c r="P36" i="8"/>
  <c r="BB76" i="8"/>
  <c r="AY76" i="8"/>
  <c r="BB73" i="8"/>
  <c r="AY73" i="8"/>
  <c r="AV73" i="8"/>
  <c r="BB75" i="8"/>
  <c r="AY75" i="8"/>
  <c r="AV75" i="8"/>
  <c r="AS75" i="8"/>
  <c r="O53" i="8"/>
  <c r="Q53" i="8" s="1"/>
  <c r="AS78" i="8"/>
  <c r="BB77" i="8"/>
  <c r="AY77" i="8"/>
  <c r="AV77" i="8"/>
  <c r="BB71" i="8"/>
  <c r="AY71" i="8"/>
  <c r="AV71" i="8"/>
  <c r="AS113" i="8"/>
  <c r="BC113" i="8" s="1"/>
  <c r="AY115" i="8"/>
  <c r="AV115" i="8"/>
  <c r="AS115" i="8"/>
  <c r="BB115" i="8"/>
  <c r="AM2" i="11"/>
  <c r="AG53" i="9"/>
  <c r="AD53" i="9"/>
  <c r="AA53" i="9"/>
  <c r="X53" i="9"/>
  <c r="U53" i="9"/>
  <c r="AS53" i="9"/>
  <c r="AP53" i="9"/>
  <c r="AM53" i="9"/>
  <c r="AJ53" i="9"/>
  <c r="BB114" i="8"/>
  <c r="AY114" i="8"/>
  <c r="AV114" i="8"/>
  <c r="AS114" i="8"/>
  <c r="AP114" i="8"/>
  <c r="AM114" i="8"/>
  <c r="AJ114" i="8"/>
  <c r="BC48" i="9" l="1"/>
  <c r="AX31" i="8"/>
  <c r="BC69" i="8"/>
  <c r="AX32" i="8"/>
  <c r="AX33" i="8" s="1"/>
  <c r="W26" i="9"/>
  <c r="BC51" i="9"/>
  <c r="AP24" i="9"/>
  <c r="AP25" i="9" s="1"/>
  <c r="AV23" i="9"/>
  <c r="AV25" i="9" s="1"/>
  <c r="AD24" i="9"/>
  <c r="AD25" i="9" s="1"/>
  <c r="X23" i="9"/>
  <c r="X25" i="9" s="1"/>
  <c r="AC26" i="9"/>
  <c r="AO26" i="9"/>
  <c r="AI26" i="9"/>
  <c r="AJ23" i="9"/>
  <c r="Z39" i="9"/>
  <c r="AI30" i="9"/>
  <c r="AM24" i="9"/>
  <c r="AM25" i="9" s="1"/>
  <c r="AG24" i="9"/>
  <c r="AU26" i="9"/>
  <c r="AL26" i="9"/>
  <c r="AJ25" i="9"/>
  <c r="AS23" i="9"/>
  <c r="AS25" i="9" s="1"/>
  <c r="AG23" i="9"/>
  <c r="AR26" i="9"/>
  <c r="AA23" i="9"/>
  <c r="AA24" i="9"/>
  <c r="U24" i="9"/>
  <c r="BA30" i="9"/>
  <c r="AC30" i="9"/>
  <c r="AD27" i="9"/>
  <c r="AL39" i="9"/>
  <c r="BA26" i="9"/>
  <c r="T26" i="9"/>
  <c r="Z34" i="9"/>
  <c r="AY23" i="9"/>
  <c r="AY25" i="9" s="1"/>
  <c r="AI34" i="9"/>
  <c r="AF34" i="9"/>
  <c r="Q40" i="9"/>
  <c r="Q31" i="9"/>
  <c r="AM31" i="9" s="1"/>
  <c r="Q36" i="9"/>
  <c r="BB37" i="9" s="1"/>
  <c r="Q15" i="9"/>
  <c r="Q19" i="9"/>
  <c r="Q11" i="9"/>
  <c r="Q27" i="9"/>
  <c r="AG28" i="9" s="1"/>
  <c r="BA34" i="8"/>
  <c r="AY33" i="8"/>
  <c r="BC33" i="8" s="1"/>
  <c r="BC32" i="8"/>
  <c r="AY52" i="8"/>
  <c r="BC77" i="8"/>
  <c r="Q46" i="8"/>
  <c r="AX19" i="8"/>
  <c r="BC71" i="8"/>
  <c r="Q15" i="8"/>
  <c r="AY16" i="8" s="1"/>
  <c r="Q36" i="8"/>
  <c r="BC115" i="8"/>
  <c r="Q26" i="8"/>
  <c r="BB25" i="8" s="1"/>
  <c r="Q40" i="8"/>
  <c r="BA22" i="8"/>
  <c r="BA19" i="8"/>
  <c r="BA25" i="8"/>
  <c r="BA36" i="8"/>
  <c r="BA20" i="8"/>
  <c r="BA35" i="8"/>
  <c r="AY57" i="8"/>
  <c r="AY58" i="8"/>
  <c r="AV14" i="8"/>
  <c r="AV53" i="8"/>
  <c r="BB52" i="8"/>
  <c r="BB55" i="8" s="1"/>
  <c r="BB57" i="8"/>
  <c r="BC53" i="9"/>
  <c r="AX38" i="8"/>
  <c r="AU14" i="8"/>
  <c r="AU17" i="8" s="1"/>
  <c r="AY53" i="8"/>
  <c r="AY55" i="8" s="1"/>
  <c r="Q21" i="8"/>
  <c r="BB22" i="8" s="1"/>
  <c r="AX22" i="8"/>
  <c r="AX35" i="8"/>
  <c r="AX36" i="8"/>
  <c r="BB53" i="8"/>
  <c r="AY60" i="8"/>
  <c r="AX25" i="8"/>
  <c r="AX29" i="8" s="1"/>
  <c r="BA29" i="8"/>
  <c r="AX57" i="8"/>
  <c r="AX58" i="8"/>
  <c r="AX52" i="8"/>
  <c r="AX60" i="8"/>
  <c r="AX53" i="8"/>
  <c r="BB58" i="8"/>
  <c r="BA63" i="8"/>
  <c r="BB60" i="8"/>
  <c r="AX56" i="8"/>
  <c r="AV52" i="8"/>
  <c r="AV55" i="8" s="1"/>
  <c r="AU56" i="8"/>
  <c r="BA14" i="8"/>
  <c r="BA16" i="8"/>
  <c r="AX16" i="8"/>
  <c r="AX14" i="8"/>
  <c r="AX17" i="8" s="1"/>
  <c r="AU24" i="8"/>
  <c r="Q20" i="8"/>
  <c r="BC114" i="8"/>
  <c r="AS97" i="8"/>
  <c r="AP97" i="8"/>
  <c r="AM97" i="8"/>
  <c r="AJ97" i="8"/>
  <c r="AG97" i="8"/>
  <c r="AS85" i="8"/>
  <c r="AP85" i="8"/>
  <c r="AM85" i="8"/>
  <c r="AJ85" i="8"/>
  <c r="AG85" i="8"/>
  <c r="AS84" i="8"/>
  <c r="AP84" i="8"/>
  <c r="AM84" i="8"/>
  <c r="AJ84" i="8"/>
  <c r="AG84" i="8"/>
  <c r="AV37" i="8" l="1"/>
  <c r="AA27" i="9"/>
  <c r="AV28" i="9"/>
  <c r="AJ28" i="9"/>
  <c r="AD37" i="9"/>
  <c r="AY28" i="9"/>
  <c r="BC24" i="9"/>
  <c r="AA37" i="9"/>
  <c r="AV27" i="9"/>
  <c r="AP27" i="9"/>
  <c r="X27" i="9"/>
  <c r="AA28" i="9"/>
  <c r="AA29" i="9" s="1"/>
  <c r="AD28" i="9"/>
  <c r="AD29" i="9" s="1"/>
  <c r="BB36" i="9"/>
  <c r="BB38" i="9" s="1"/>
  <c r="AG37" i="9"/>
  <c r="X28" i="9"/>
  <c r="AM36" i="9"/>
  <c r="AG36" i="9"/>
  <c r="AG38" i="9" s="1"/>
  <c r="BB27" i="9"/>
  <c r="AY27" i="9"/>
  <c r="AP28" i="9"/>
  <c r="AA36" i="9"/>
  <c r="X36" i="9"/>
  <c r="AS28" i="9"/>
  <c r="AA25" i="9"/>
  <c r="AD36" i="9"/>
  <c r="AM28" i="9"/>
  <c r="AJ36" i="9"/>
  <c r="AP37" i="9"/>
  <c r="AY36" i="9"/>
  <c r="AV37" i="9"/>
  <c r="AV36" i="9"/>
  <c r="AG27" i="9"/>
  <c r="AG29" i="9" s="1"/>
  <c r="AS37" i="9"/>
  <c r="AM27" i="9"/>
  <c r="AY37" i="9"/>
  <c r="X37" i="9"/>
  <c r="AJ27" i="9"/>
  <c r="AJ29" i="9" s="1"/>
  <c r="AM37" i="9"/>
  <c r="AS27" i="9"/>
  <c r="AS29" i="9" s="1"/>
  <c r="AG25" i="9"/>
  <c r="AS36" i="9"/>
  <c r="AS38" i="9" s="1"/>
  <c r="BB28" i="9"/>
  <c r="AJ37" i="9"/>
  <c r="AJ38" i="9" s="1"/>
  <c r="AP36" i="9"/>
  <c r="AP38" i="9" s="1"/>
  <c r="U25" i="9"/>
  <c r="AJ32" i="9"/>
  <c r="BB31" i="9"/>
  <c r="BB33" i="9" s="1"/>
  <c r="X32" i="9"/>
  <c r="AV31" i="9"/>
  <c r="AJ31" i="9"/>
  <c r="AM32" i="9"/>
  <c r="AM33" i="9" s="1"/>
  <c r="AD31" i="9"/>
  <c r="AA31" i="9"/>
  <c r="AS32" i="9"/>
  <c r="AP31" i="9"/>
  <c r="AV32" i="9"/>
  <c r="AS31" i="9"/>
  <c r="AD32" i="9"/>
  <c r="AP32" i="9"/>
  <c r="AG31" i="9"/>
  <c r="AA32" i="9"/>
  <c r="AG32" i="9"/>
  <c r="X31" i="9"/>
  <c r="BC23" i="9"/>
  <c r="AY20" i="8"/>
  <c r="AV19" i="8"/>
  <c r="AV20" i="8"/>
  <c r="AY28" i="8"/>
  <c r="AX23" i="8"/>
  <c r="BB37" i="8"/>
  <c r="AY37" i="8"/>
  <c r="BB28" i="8"/>
  <c r="BB29" i="8" s="1"/>
  <c r="AY25" i="8"/>
  <c r="AV16" i="8"/>
  <c r="AV17" i="8" s="1"/>
  <c r="BB14" i="8"/>
  <c r="BB16" i="8"/>
  <c r="AS14" i="8"/>
  <c r="AS16" i="8"/>
  <c r="AY14" i="8"/>
  <c r="AY17" i="8" s="1"/>
  <c r="BB62" i="8"/>
  <c r="BB20" i="8"/>
  <c r="AU36" i="8"/>
  <c r="AU35" i="8"/>
  <c r="AY62" i="8"/>
  <c r="AX37" i="8"/>
  <c r="AY19" i="8"/>
  <c r="AY22" i="8"/>
  <c r="BB19" i="8"/>
  <c r="AV22" i="8"/>
  <c r="BA37" i="8"/>
  <c r="BA23" i="8"/>
  <c r="BA57" i="8"/>
  <c r="BA60" i="8"/>
  <c r="BA58" i="8"/>
  <c r="BA52" i="8"/>
  <c r="BA53" i="8"/>
  <c r="AX55" i="8"/>
  <c r="AX62" i="8"/>
  <c r="BA17" i="8"/>
  <c r="AU22" i="8"/>
  <c r="AU20" i="8"/>
  <c r="AU19" i="8"/>
  <c r="AQ43" i="8"/>
  <c r="AR44" i="8" s="1"/>
  <c r="AN43" i="8"/>
  <c r="AO44" i="8" s="1"/>
  <c r="AK43" i="8"/>
  <c r="AV23" i="8" l="1"/>
  <c r="AY29" i="8"/>
  <c r="BC25" i="9"/>
  <c r="AD38" i="9"/>
  <c r="AM29" i="9"/>
  <c r="AV33" i="9"/>
  <c r="AV29" i="9"/>
  <c r="AY29" i="9"/>
  <c r="X33" i="9"/>
  <c r="AA38" i="9"/>
  <c r="X29" i="9"/>
  <c r="BB29" i="9"/>
  <c r="AV38" i="9"/>
  <c r="X38" i="9"/>
  <c r="AM38" i="9"/>
  <c r="AP29" i="9"/>
  <c r="AY38" i="9"/>
  <c r="AJ33" i="9"/>
  <c r="AP33" i="9"/>
  <c r="AA33" i="9"/>
  <c r="AD33" i="9"/>
  <c r="AS33" i="9"/>
  <c r="AG33" i="9"/>
  <c r="BB17" i="8"/>
  <c r="BB23" i="8"/>
  <c r="AY23" i="8"/>
  <c r="BA62" i="8"/>
  <c r="AU37" i="8"/>
  <c r="AU23" i="8"/>
  <c r="BA55" i="8"/>
  <c r="AM107" i="8"/>
  <c r="AD97" i="8"/>
  <c r="BC97" i="8" s="1"/>
  <c r="AD85" i="8"/>
  <c r="BC85" i="8" s="1"/>
  <c r="AD84" i="8"/>
  <c r="BC84" i="8" s="1"/>
  <c r="AS101" i="8"/>
  <c r="AP101" i="8"/>
  <c r="AM101" i="8"/>
  <c r="AJ101" i="8"/>
  <c r="AG101" i="8"/>
  <c r="AD101" i="8"/>
  <c r="AJ107" i="8"/>
  <c r="AG107" i="8"/>
  <c r="AD107" i="8"/>
  <c r="AS94" i="8"/>
  <c r="AP94" i="8"/>
  <c r="AM94" i="8"/>
  <c r="AJ94" i="8"/>
  <c r="AG94" i="8"/>
  <c r="AD94" i="8"/>
  <c r="AA94" i="8"/>
  <c r="AS90" i="8"/>
  <c r="AP90" i="8"/>
  <c r="AM90" i="8"/>
  <c r="AJ90" i="8"/>
  <c r="AG90" i="8"/>
  <c r="AD90" i="8"/>
  <c r="AS86" i="8"/>
  <c r="AP86" i="8"/>
  <c r="AM86" i="8"/>
  <c r="AJ86" i="8"/>
  <c r="AG86" i="8"/>
  <c r="AD86" i="8"/>
  <c r="AA86" i="8"/>
  <c r="AD67" i="8"/>
  <c r="AA67" i="8"/>
  <c r="X67" i="8"/>
  <c r="BB81" i="8"/>
  <c r="AY81" i="8"/>
  <c r="AV81" i="8"/>
  <c r="AS81" i="8"/>
  <c r="AP81" i="8"/>
  <c r="AM81" i="8"/>
  <c r="AJ81" i="8"/>
  <c r="AG81" i="8"/>
  <c r="AD81" i="8"/>
  <c r="AA81" i="8"/>
  <c r="AS92" i="8"/>
  <c r="AP92" i="8"/>
  <c r="AM92" i="8"/>
  <c r="AJ92" i="8"/>
  <c r="AG92" i="8"/>
  <c r="AD92" i="8"/>
  <c r="AA92" i="8"/>
  <c r="AS102" i="8"/>
  <c r="AP102" i="8"/>
  <c r="AM102" i="8"/>
  <c r="AJ102" i="8"/>
  <c r="AG102" i="8"/>
  <c r="AD102" i="8"/>
  <c r="AA102" i="8"/>
  <c r="X102" i="8"/>
  <c r="U102" i="8"/>
  <c r="AA46" i="9"/>
  <c r="BB78" i="8"/>
  <c r="AY78" i="8"/>
  <c r="AV78" i="8"/>
  <c r="BB82" i="8"/>
  <c r="AY82" i="8"/>
  <c r="AV82" i="8"/>
  <c r="AS82" i="8"/>
  <c r="AP82" i="8"/>
  <c r="AM82" i="8"/>
  <c r="AJ82" i="8"/>
  <c r="AG82" i="8"/>
  <c r="AD82" i="8"/>
  <c r="AA82" i="8"/>
  <c r="X82" i="8"/>
  <c r="BB80" i="8"/>
  <c r="AV80" i="8"/>
  <c r="AS80" i="8"/>
  <c r="AP80" i="8"/>
  <c r="AM80" i="8"/>
  <c r="AJ80" i="8"/>
  <c r="AG80" i="8"/>
  <c r="AD80" i="8"/>
  <c r="AA80" i="8"/>
  <c r="X80" i="8"/>
  <c r="BB79" i="8"/>
  <c r="AY79" i="8"/>
  <c r="AV79" i="8"/>
  <c r="AS79" i="8"/>
  <c r="AP79" i="8"/>
  <c r="AM79" i="8"/>
  <c r="AJ79" i="8"/>
  <c r="AG79" i="8"/>
  <c r="AD79" i="8"/>
  <c r="AA79" i="8"/>
  <c r="X79" i="8"/>
  <c r="G14" i="4"/>
  <c r="H14" i="4" l="1"/>
  <c r="H11" i="4"/>
  <c r="BC107" i="8"/>
  <c r="BC92" i="8"/>
  <c r="BC102" i="8"/>
  <c r="BC81" i="8"/>
  <c r="BC78" i="8"/>
  <c r="AQ37" i="8" l="1"/>
  <c r="AS35" i="8" s="1"/>
  <c r="AN37" i="8"/>
  <c r="AK37" i="8"/>
  <c r="AH37" i="8"/>
  <c r="AE37" i="8"/>
  <c r="AB37" i="8"/>
  <c r="Y37" i="8"/>
  <c r="V37" i="8"/>
  <c r="AQ62" i="8"/>
  <c r="AN62" i="8"/>
  <c r="AT43" i="8"/>
  <c r="AU44" i="8" s="1"/>
  <c r="AZ49" i="8"/>
  <c r="AW49" i="8"/>
  <c r="AT49" i="8"/>
  <c r="AQ49" i="8"/>
  <c r="AN49" i="8"/>
  <c r="BC14" i="9"/>
  <c r="AQ13" i="9"/>
  <c r="AN13" i="9"/>
  <c r="AK13" i="9"/>
  <c r="AH13" i="9"/>
  <c r="AE13" i="9"/>
  <c r="AB13" i="9"/>
  <c r="Y13" i="9"/>
  <c r="V13" i="9"/>
  <c r="AQ17" i="8"/>
  <c r="AN17" i="8"/>
  <c r="AH17" i="8"/>
  <c r="AE17" i="8"/>
  <c r="AB17" i="8"/>
  <c r="Y17" i="8"/>
  <c r="V17" i="8"/>
  <c r="AQ29" i="8"/>
  <c r="AR30" i="8" s="1"/>
  <c r="AT29" i="8"/>
  <c r="AU30" i="8" s="1"/>
  <c r="AU28" i="8" s="1"/>
  <c r="AN29" i="8"/>
  <c r="AO30" i="8" s="1"/>
  <c r="AK29" i="8"/>
  <c r="AL30" i="8" s="1"/>
  <c r="AA45" i="9"/>
  <c r="X45" i="9"/>
  <c r="U45" i="9"/>
  <c r="AY65" i="8"/>
  <c r="AV65" i="8"/>
  <c r="AS65" i="8"/>
  <c r="AP65" i="8"/>
  <c r="AM65" i="8"/>
  <c r="AJ65" i="8"/>
  <c r="AG65" i="8"/>
  <c r="AD65" i="8"/>
  <c r="AA65" i="8"/>
  <c r="X65" i="8"/>
  <c r="U65" i="8"/>
  <c r="BB65" i="8"/>
  <c r="BB62" i="6"/>
  <c r="BC62" i="6" s="1"/>
  <c r="AA47" i="9"/>
  <c r="X47" i="9"/>
  <c r="U47" i="9"/>
  <c r="X46" i="9"/>
  <c r="U46" i="9"/>
  <c r="AS54" i="9"/>
  <c r="AP54" i="9"/>
  <c r="AM54" i="9"/>
  <c r="AJ54" i="9"/>
  <c r="AG54" i="9"/>
  <c r="AD54" i="9"/>
  <c r="AA54" i="9"/>
  <c r="X54" i="9"/>
  <c r="U54" i="9"/>
  <c r="BB66" i="8"/>
  <c r="AY66" i="8"/>
  <c r="AV66" i="8"/>
  <c r="AS66" i="8"/>
  <c r="AP66" i="8"/>
  <c r="AM66" i="8"/>
  <c r="AJ66" i="8"/>
  <c r="AG66" i="8"/>
  <c r="AD66" i="8"/>
  <c r="AA66" i="8"/>
  <c r="X66" i="8"/>
  <c r="U66" i="8"/>
  <c r="BB63" i="6"/>
  <c r="BC63" i="6" s="1"/>
  <c r="BB116" i="8"/>
  <c r="AY116" i="8"/>
  <c r="AV116" i="8"/>
  <c r="AS116" i="8"/>
  <c r="AP116" i="8"/>
  <c r="AM116" i="8"/>
  <c r="AJ116" i="8"/>
  <c r="AG116" i="8"/>
  <c r="AD116" i="8"/>
  <c r="AA116" i="8"/>
  <c r="X116" i="8"/>
  <c r="U116" i="8"/>
  <c r="BB68" i="8"/>
  <c r="AY68" i="8"/>
  <c r="AV68" i="8"/>
  <c r="AS68" i="8"/>
  <c r="AP68" i="8"/>
  <c r="AM68" i="8"/>
  <c r="AJ68" i="8"/>
  <c r="AG68" i="8"/>
  <c r="AD68" i="8"/>
  <c r="AA68" i="8"/>
  <c r="X68" i="8"/>
  <c r="U68" i="8"/>
  <c r="AS103" i="8"/>
  <c r="AP103" i="8"/>
  <c r="AM103" i="8"/>
  <c r="AJ103" i="8"/>
  <c r="AG103" i="8"/>
  <c r="AD103" i="8"/>
  <c r="AA103" i="8"/>
  <c r="X103" i="8"/>
  <c r="U103" i="8"/>
  <c r="BB99" i="6"/>
  <c r="BC99" i="6" s="1"/>
  <c r="BB85" i="6"/>
  <c r="AY85" i="6"/>
  <c r="BB83" i="6"/>
  <c r="AY83" i="6"/>
  <c r="V62" i="8"/>
  <c r="Y62" i="8"/>
  <c r="AB62" i="8"/>
  <c r="AE62" i="8"/>
  <c r="AH62" i="8"/>
  <c r="V29" i="8"/>
  <c r="W30" i="8" s="1"/>
  <c r="W26" i="8" s="1"/>
  <c r="Y29" i="8"/>
  <c r="Z30" i="8" s="1"/>
  <c r="Z26" i="8" s="1"/>
  <c r="AB29" i="8"/>
  <c r="AC30" i="8" s="1"/>
  <c r="AC26" i="8" s="1"/>
  <c r="AE29" i="8"/>
  <c r="AF30" i="8" s="1"/>
  <c r="AF26" i="8" s="1"/>
  <c r="AH29" i="8"/>
  <c r="AI30" i="8" s="1"/>
  <c r="AI26" i="8" s="1"/>
  <c r="S29" i="8"/>
  <c r="AZ28" i="6"/>
  <c r="BA29" i="6" s="1"/>
  <c r="BA27" i="6" s="1"/>
  <c r="AW28" i="6"/>
  <c r="AZ18" i="6"/>
  <c r="AW18" i="6"/>
  <c r="BB65" i="6"/>
  <c r="AY65" i="6"/>
  <c r="AP68" i="6"/>
  <c r="BC68" i="6" s="1"/>
  <c r="AS36" i="8" l="1"/>
  <c r="AS37" i="8" s="1"/>
  <c r="AO27" i="8"/>
  <c r="AL27" i="8"/>
  <c r="AR27" i="8"/>
  <c r="BC65" i="8"/>
  <c r="BC66" i="8"/>
  <c r="BC45" i="9"/>
  <c r="BC54" i="9"/>
  <c r="BC46" i="9"/>
  <c r="BC47" i="9"/>
  <c r="BC116" i="8"/>
  <c r="BC68" i="8"/>
  <c r="BC103" i="8"/>
  <c r="BC65" i="6"/>
  <c r="X86" i="8"/>
  <c r="U87" i="8"/>
  <c r="U86" i="8"/>
  <c r="U83" i="8"/>
  <c r="AV85" i="6"/>
  <c r="AV83" i="6"/>
  <c r="AP84" i="6"/>
  <c r="BC19" i="6"/>
  <c r="AV84" i="6"/>
  <c r="AY84" i="6"/>
  <c r="BB84" i="6"/>
  <c r="AS84" i="6"/>
  <c r="AS75" i="6"/>
  <c r="AV75" i="6"/>
  <c r="AY75" i="6"/>
  <c r="BB75" i="6"/>
  <c r="S3" i="6"/>
  <c r="P52" i="8"/>
  <c r="O52" i="8"/>
  <c r="P50" i="6"/>
  <c r="O50" i="6"/>
  <c r="AR63" i="8"/>
  <c r="Z63" i="8"/>
  <c r="AF63" i="8"/>
  <c r="AI63" i="8"/>
  <c r="V43" i="8"/>
  <c r="W44" i="8" s="1"/>
  <c r="Y43" i="8"/>
  <c r="Z44" i="8" s="1"/>
  <c r="AB43" i="8"/>
  <c r="AC44" i="8" s="1"/>
  <c r="AE43" i="8"/>
  <c r="AF44" i="8" s="1"/>
  <c r="AH43" i="8"/>
  <c r="AI44" i="8" s="1"/>
  <c r="AF38" i="8"/>
  <c r="AL38" i="8"/>
  <c r="AO38" i="8"/>
  <c r="AR38" i="8"/>
  <c r="AN23" i="8"/>
  <c r="AQ23" i="8"/>
  <c r="AK23" i="8"/>
  <c r="Y23" i="8"/>
  <c r="Z24" i="8" s="1"/>
  <c r="AB23" i="8"/>
  <c r="AC24" i="8" s="1"/>
  <c r="AE23" i="8"/>
  <c r="AH23" i="8"/>
  <c r="V23" i="8"/>
  <c r="W24" i="8" s="1"/>
  <c r="AP75" i="6"/>
  <c r="AM75" i="6"/>
  <c r="AJ75" i="6"/>
  <c r="Y2" i="9"/>
  <c r="AB2" i="9"/>
  <c r="AE2" i="9"/>
  <c r="AH2" i="9"/>
  <c r="AK2" i="9"/>
  <c r="AN2" i="9"/>
  <c r="AQ2" i="9"/>
  <c r="AT2" i="9"/>
  <c r="AW2" i="9"/>
  <c r="AZ2" i="9"/>
  <c r="V2" i="9"/>
  <c r="F33" i="4"/>
  <c r="BB52" i="1"/>
  <c r="BB46" i="1"/>
  <c r="AS20" i="8" l="1"/>
  <c r="AS19" i="8"/>
  <c r="AS22" i="8"/>
  <c r="AL24" i="8"/>
  <c r="AL35" i="8" s="1"/>
  <c r="AC36" i="8"/>
  <c r="AC35" i="8"/>
  <c r="Z36" i="8"/>
  <c r="Z35" i="8"/>
  <c r="W36" i="8"/>
  <c r="W35" i="8"/>
  <c r="AR60" i="8"/>
  <c r="AR57" i="8"/>
  <c r="AR45" i="8"/>
  <c r="AR61" i="8"/>
  <c r="AR58" i="8"/>
  <c r="AR48" i="8"/>
  <c r="AR46" i="8"/>
  <c r="AC19" i="8"/>
  <c r="AC25" i="8"/>
  <c r="AC29" i="8" s="1"/>
  <c r="Z19" i="8"/>
  <c r="Z25" i="8"/>
  <c r="Z29" i="8" s="1"/>
  <c r="W19" i="8"/>
  <c r="W25" i="8"/>
  <c r="W29" i="8" s="1"/>
  <c r="AI57" i="8"/>
  <c r="AI61" i="8"/>
  <c r="AI59" i="8"/>
  <c r="AI58" i="8"/>
  <c r="AI60" i="8"/>
  <c r="AF58" i="8"/>
  <c r="AF60" i="8"/>
  <c r="AF59" i="8"/>
  <c r="AF57" i="8"/>
  <c r="AF61" i="8"/>
  <c r="Z60" i="8"/>
  <c r="Z58" i="8"/>
  <c r="Z61" i="8"/>
  <c r="Z59" i="8"/>
  <c r="Z57" i="8"/>
  <c r="BC85" i="6"/>
  <c r="BC83" i="6"/>
  <c r="BC83" i="8"/>
  <c r="BC87" i="8"/>
  <c r="BC86" i="8"/>
  <c r="BC84" i="6"/>
  <c r="BC75" i="6"/>
  <c r="Q50" i="6"/>
  <c r="Q52" i="8"/>
  <c r="W41" i="8"/>
  <c r="Z40" i="8"/>
  <c r="AC39" i="8"/>
  <c r="AC63" i="8"/>
  <c r="W63" i="8"/>
  <c r="AI24" i="8"/>
  <c r="AC42" i="8"/>
  <c r="W40" i="8"/>
  <c r="Z39" i="8"/>
  <c r="AF24" i="8"/>
  <c r="AO24" i="8"/>
  <c r="AO22" i="8" s="1"/>
  <c r="AI38" i="8"/>
  <c r="Z42" i="8"/>
  <c r="AC41" i="8"/>
  <c r="W39" i="8"/>
  <c r="W42" i="8"/>
  <c r="Z41" i="8"/>
  <c r="AC40" i="8"/>
  <c r="AO63" i="8"/>
  <c r="Z38" i="8"/>
  <c r="AC38" i="8"/>
  <c r="W38" i="8"/>
  <c r="AR24" i="8"/>
  <c r="AR22" i="8" s="1"/>
  <c r="AC22" i="8"/>
  <c r="AC21" i="8"/>
  <c r="AC20" i="8"/>
  <c r="Z22" i="8"/>
  <c r="Z21" i="8"/>
  <c r="Z20" i="8"/>
  <c r="W22" i="8"/>
  <c r="W21" i="8"/>
  <c r="W20" i="8"/>
  <c r="BB6" i="9"/>
  <c r="BA6" i="9"/>
  <c r="AZ6" i="9"/>
  <c r="AY6" i="9"/>
  <c r="AX6" i="9"/>
  <c r="AW6" i="9"/>
  <c r="AV6" i="9"/>
  <c r="AU6" i="9"/>
  <c r="AT6" i="9"/>
  <c r="AQ6" i="9"/>
  <c r="AN6" i="9"/>
  <c r="AK6" i="9"/>
  <c r="AH6" i="9"/>
  <c r="AE6" i="9"/>
  <c r="AB6" i="9"/>
  <c r="Y6" i="9"/>
  <c r="V6" i="9"/>
  <c r="S6" i="9"/>
  <c r="Z14" i="9"/>
  <c r="AC14" i="9"/>
  <c r="AF14" i="9"/>
  <c r="AI14" i="9"/>
  <c r="AL14" i="9"/>
  <c r="AO14" i="9"/>
  <c r="AR14" i="9"/>
  <c r="AT13" i="9"/>
  <c r="AU14" i="9" s="1"/>
  <c r="AW13" i="9"/>
  <c r="AX14" i="9" s="1"/>
  <c r="AX11" i="9" s="1"/>
  <c r="AX13" i="9" s="1"/>
  <c r="AZ13" i="9"/>
  <c r="BA14" i="9" s="1"/>
  <c r="W14" i="9"/>
  <c r="S13" i="9"/>
  <c r="T14" i="9" s="1"/>
  <c r="Y2" i="8"/>
  <c r="AB2" i="8"/>
  <c r="AE2" i="8"/>
  <c r="AH2" i="8"/>
  <c r="AK2" i="8"/>
  <c r="AN2" i="8"/>
  <c r="AQ2" i="8"/>
  <c r="AT2" i="8"/>
  <c r="AW2" i="8"/>
  <c r="AZ2" i="8"/>
  <c r="Y3" i="8"/>
  <c r="AB3" i="8"/>
  <c r="AE3" i="8"/>
  <c r="AH3" i="8"/>
  <c r="AK3" i="8"/>
  <c r="AN3" i="8"/>
  <c r="AQ3" i="8"/>
  <c r="AT3" i="8"/>
  <c r="AW3" i="8"/>
  <c r="AZ3" i="8"/>
  <c r="Y4" i="8"/>
  <c r="AB4" i="8"/>
  <c r="AE4" i="8"/>
  <c r="AH4" i="8"/>
  <c r="AK4" i="8"/>
  <c r="AM4" i="8"/>
  <c r="AN4" i="8"/>
  <c r="AO4" i="8"/>
  <c r="AP4" i="8"/>
  <c r="AQ4" i="8"/>
  <c r="AR4" i="8"/>
  <c r="AS4" i="8"/>
  <c r="AT4" i="8"/>
  <c r="AU4" i="8"/>
  <c r="AV4" i="8"/>
  <c r="AW4" i="8"/>
  <c r="AX4" i="8"/>
  <c r="AY4" i="8"/>
  <c r="AZ4" i="8"/>
  <c r="BA4" i="8"/>
  <c r="BB4" i="8"/>
  <c r="Y5" i="8"/>
  <c r="Z5" i="8"/>
  <c r="AB5" i="8"/>
  <c r="AC5" i="8"/>
  <c r="AE5" i="8"/>
  <c r="AF5" i="8"/>
  <c r="AH5" i="8"/>
  <c r="AI5" i="8"/>
  <c r="AK5" i="8"/>
  <c r="AL5" i="8"/>
  <c r="AN5" i="8"/>
  <c r="AO5" i="8"/>
  <c r="AQ5" i="8"/>
  <c r="AR5" i="8"/>
  <c r="AT5" i="8"/>
  <c r="AU5" i="8"/>
  <c r="AW5" i="8"/>
  <c r="AX5" i="8"/>
  <c r="AZ5" i="8"/>
  <c r="BA5" i="8"/>
  <c r="Y6" i="8"/>
  <c r="AB6" i="8"/>
  <c r="AE6" i="8"/>
  <c r="AH6" i="8"/>
  <c r="AK6" i="8"/>
  <c r="AN6" i="8"/>
  <c r="AQ6" i="8"/>
  <c r="AT6" i="8"/>
  <c r="AW6" i="8"/>
  <c r="AZ6" i="8"/>
  <c r="Y7" i="8"/>
  <c r="AB7" i="8"/>
  <c r="AE7" i="8"/>
  <c r="AH7" i="8"/>
  <c r="AK7" i="8"/>
  <c r="AN7" i="8"/>
  <c r="AQ7" i="8"/>
  <c r="AT7" i="8"/>
  <c r="AU7" i="8"/>
  <c r="AW7" i="8"/>
  <c r="AX7" i="8"/>
  <c r="AZ7" i="8"/>
  <c r="BA7" i="8"/>
  <c r="Y8" i="8"/>
  <c r="AB8" i="8"/>
  <c r="AE8" i="8"/>
  <c r="AH8" i="8"/>
  <c r="AK8" i="8"/>
  <c r="AN8" i="8"/>
  <c r="AQ8" i="8"/>
  <c r="AT8" i="8"/>
  <c r="AW8" i="8"/>
  <c r="AZ8" i="8"/>
  <c r="Y9" i="8"/>
  <c r="AB9" i="8"/>
  <c r="AE9" i="8"/>
  <c r="AH9" i="8"/>
  <c r="AK9" i="8"/>
  <c r="AN9" i="8"/>
  <c r="AQ9" i="8"/>
  <c r="AT9" i="8"/>
  <c r="AW9" i="8"/>
  <c r="AZ9" i="8"/>
  <c r="V2" i="8"/>
  <c r="V3" i="8"/>
  <c r="V4" i="8"/>
  <c r="V5" i="8"/>
  <c r="W5" i="8"/>
  <c r="V6" i="8"/>
  <c r="V7" i="8"/>
  <c r="V8" i="8"/>
  <c r="V9" i="8"/>
  <c r="S9" i="8"/>
  <c r="S8" i="8"/>
  <c r="S7" i="8"/>
  <c r="S6" i="8"/>
  <c r="T5" i="8"/>
  <c r="S5" i="8"/>
  <c r="S4" i="8"/>
  <c r="S3" i="8"/>
  <c r="S2" i="8"/>
  <c r="S2" i="6"/>
  <c r="S9" i="6"/>
  <c r="S8" i="6"/>
  <c r="S7" i="6"/>
  <c r="S6" i="6"/>
  <c r="S4" i="6"/>
  <c r="AR18" i="8"/>
  <c r="AO18" i="8"/>
  <c r="AK17" i="8"/>
  <c r="AL18" i="8" s="1"/>
  <c r="AI18" i="8"/>
  <c r="AF18" i="8"/>
  <c r="AC18" i="8"/>
  <c r="Z18" i="8"/>
  <c r="W18" i="8"/>
  <c r="S17" i="8"/>
  <c r="T18" i="8" s="1"/>
  <c r="Q14" i="8"/>
  <c r="U9" i="6"/>
  <c r="T9" i="6"/>
  <c r="V9" i="6"/>
  <c r="W9" i="6"/>
  <c r="X9" i="6"/>
  <c r="Y9" i="6"/>
  <c r="AB9" i="6"/>
  <c r="AE9" i="6"/>
  <c r="AH9" i="6"/>
  <c r="AK9" i="6"/>
  <c r="AN9" i="6"/>
  <c r="AQ9" i="6"/>
  <c r="AT9" i="6"/>
  <c r="AW9" i="6"/>
  <c r="AZ9" i="6"/>
  <c r="Y18" i="6"/>
  <c r="Z19" i="6" s="1"/>
  <c r="Z17" i="6" s="1"/>
  <c r="AB18" i="6"/>
  <c r="AC19" i="6" s="1"/>
  <c r="AC14" i="6" s="1"/>
  <c r="AE18" i="6"/>
  <c r="AF19" i="6" s="1"/>
  <c r="AH18" i="6"/>
  <c r="AI19" i="6" s="1"/>
  <c r="AI15" i="6" s="1"/>
  <c r="AK18" i="6"/>
  <c r="AL19" i="6" s="1"/>
  <c r="AL15" i="6" s="1"/>
  <c r="AN18" i="6"/>
  <c r="AO19" i="6" s="1"/>
  <c r="AQ18" i="6"/>
  <c r="AR19" i="6" s="1"/>
  <c r="AR15" i="6" s="1"/>
  <c r="AT18" i="6"/>
  <c r="AU19" i="6" s="1"/>
  <c r="AU15" i="6" s="1"/>
  <c r="AX19" i="6"/>
  <c r="AX15" i="6" s="1"/>
  <c r="BA19" i="6"/>
  <c r="BA15" i="6" s="1"/>
  <c r="W19" i="6"/>
  <c r="BC7" i="10"/>
  <c r="BB70" i="1"/>
  <c r="BB67" i="1"/>
  <c r="BB62" i="1"/>
  <c r="BB60" i="1"/>
  <c r="BB58" i="1"/>
  <c r="BB57" i="1"/>
  <c r="BB56" i="1"/>
  <c r="BB55" i="1"/>
  <c r="BB54" i="1"/>
  <c r="BB53" i="1"/>
  <c r="BB69" i="1"/>
  <c r="BB68" i="1"/>
  <c r="BB66" i="1"/>
  <c r="BB65" i="1"/>
  <c r="BB64" i="1"/>
  <c r="BB63" i="1"/>
  <c r="BB61" i="1"/>
  <c r="BB59" i="1"/>
  <c r="BB51" i="1"/>
  <c r="BB49" i="1"/>
  <c r="BB48" i="1"/>
  <c r="BB47" i="1"/>
  <c r="BB50" i="1"/>
  <c r="R71" i="1"/>
  <c r="U71" i="1"/>
  <c r="X71" i="1"/>
  <c r="AA71" i="1"/>
  <c r="AD71" i="1"/>
  <c r="AG71" i="1"/>
  <c r="AJ71" i="1"/>
  <c r="AM71" i="1"/>
  <c r="AP71" i="1"/>
  <c r="AS71" i="1"/>
  <c r="AV71" i="1"/>
  <c r="AY71" i="1"/>
  <c r="T19" i="6"/>
  <c r="Q14" i="6"/>
  <c r="AP87" i="6"/>
  <c r="AM87" i="6"/>
  <c r="AJ87" i="6"/>
  <c r="AG87" i="6"/>
  <c r="AD87" i="6"/>
  <c r="AL19" i="8" l="1"/>
  <c r="AL25" i="8"/>
  <c r="AL29" i="8" s="1"/>
  <c r="AL36" i="8"/>
  <c r="AL37" i="8" s="1"/>
  <c r="AL22" i="8"/>
  <c r="AL20" i="8"/>
  <c r="AL42" i="8"/>
  <c r="AR42" i="8"/>
  <c r="AO42" i="8"/>
  <c r="AR39" i="8"/>
  <c r="AR40" i="8"/>
  <c r="AO40" i="8"/>
  <c r="AO39" i="8"/>
  <c r="W37" i="8"/>
  <c r="Z37" i="8"/>
  <c r="AC37" i="8"/>
  <c r="AD15" i="8"/>
  <c r="AJ14" i="8"/>
  <c r="AP16" i="8"/>
  <c r="AJ16" i="8"/>
  <c r="AJ9" i="8" s="1"/>
  <c r="AA15" i="8"/>
  <c r="AG14" i="8"/>
  <c r="AG16" i="8"/>
  <c r="AG9" i="8" s="1"/>
  <c r="X15" i="8"/>
  <c r="AD14" i="8"/>
  <c r="X16" i="8"/>
  <c r="X9" i="8" s="1"/>
  <c r="AP14" i="8"/>
  <c r="AD16" i="8"/>
  <c r="AD9" i="8" s="1"/>
  <c r="AA14" i="8"/>
  <c r="AA16" i="8"/>
  <c r="AA9" i="8" s="1"/>
  <c r="X14" i="8"/>
  <c r="AJ15" i="8"/>
  <c r="AG15" i="8"/>
  <c r="AR25" i="8"/>
  <c r="AR29" i="8" s="1"/>
  <c r="AR35" i="8"/>
  <c r="AR36" i="8"/>
  <c r="AU25" i="8"/>
  <c r="AU29" i="8" s="1"/>
  <c r="AU39" i="8"/>
  <c r="AU40" i="8"/>
  <c r="AU42" i="8"/>
  <c r="AI35" i="8"/>
  <c r="AI36" i="8"/>
  <c r="AO36" i="8"/>
  <c r="AO25" i="8"/>
  <c r="AO29" i="8" s="1"/>
  <c r="AO35" i="8"/>
  <c r="AF35" i="8"/>
  <c r="AF36" i="8"/>
  <c r="AR62" i="8"/>
  <c r="BA46" i="8"/>
  <c r="BA48" i="8"/>
  <c r="BA45" i="8"/>
  <c r="AX46" i="8"/>
  <c r="AX48" i="8"/>
  <c r="AX45" i="8"/>
  <c r="AO45" i="8"/>
  <c r="AO60" i="8"/>
  <c r="AO57" i="8"/>
  <c r="AO46" i="8"/>
  <c r="AO61" i="8"/>
  <c r="AO58" i="8"/>
  <c r="AO48" i="8"/>
  <c r="AR49" i="8"/>
  <c r="AA12" i="9"/>
  <c r="AA11" i="9"/>
  <c r="AJ12" i="9"/>
  <c r="X12" i="9"/>
  <c r="X11" i="9"/>
  <c r="AM11" i="9"/>
  <c r="AS12" i="9"/>
  <c r="AS11" i="9"/>
  <c r="AM12" i="9"/>
  <c r="AJ11" i="9"/>
  <c r="AP12" i="9"/>
  <c r="AP11" i="9"/>
  <c r="AG12" i="9"/>
  <c r="AG11" i="9"/>
  <c r="AD12" i="9"/>
  <c r="AD11" i="9"/>
  <c r="AI11" i="9"/>
  <c r="AI12" i="9"/>
  <c r="W11" i="9"/>
  <c r="W12" i="9"/>
  <c r="AF12" i="9"/>
  <c r="AF11" i="9"/>
  <c r="AC12" i="9"/>
  <c r="AC11" i="9"/>
  <c r="Z12" i="9"/>
  <c r="Z11" i="9"/>
  <c r="AR12" i="9"/>
  <c r="AR11" i="9"/>
  <c r="AO12" i="9"/>
  <c r="AO11" i="9"/>
  <c r="AL12" i="9"/>
  <c r="AL11" i="9"/>
  <c r="BA9" i="8"/>
  <c r="AU9" i="8"/>
  <c r="AX9" i="8"/>
  <c r="AR14" i="8"/>
  <c r="AR16" i="8"/>
  <c r="AR9" i="8" s="1"/>
  <c r="AO16" i="8"/>
  <c r="AO9" i="8" s="1"/>
  <c r="AO14" i="8"/>
  <c r="Z15" i="8"/>
  <c r="Z14" i="8"/>
  <c r="Z16" i="8"/>
  <c r="Z9" i="8" s="1"/>
  <c r="W16" i="8"/>
  <c r="W9" i="8" s="1"/>
  <c r="W15" i="8"/>
  <c r="W14" i="8"/>
  <c r="AC14" i="8"/>
  <c r="AC16" i="8"/>
  <c r="AC9" i="8" s="1"/>
  <c r="AC15" i="8"/>
  <c r="AI16" i="8"/>
  <c r="AI9" i="8" s="1"/>
  <c r="AI15" i="8"/>
  <c r="AI14" i="8"/>
  <c r="AF14" i="8"/>
  <c r="AF16" i="8"/>
  <c r="AF9" i="8" s="1"/>
  <c r="AF15" i="8"/>
  <c r="AF21" i="8"/>
  <c r="AF25" i="8"/>
  <c r="AF29" i="8" s="1"/>
  <c r="AI20" i="8"/>
  <c r="AI25" i="8"/>
  <c r="AI29" i="8" s="1"/>
  <c r="BB15" i="6"/>
  <c r="AY15" i="6"/>
  <c r="Z62" i="8"/>
  <c r="AC59" i="8"/>
  <c r="AC60" i="8"/>
  <c r="AC57" i="8"/>
  <c r="AC61" i="8"/>
  <c r="AC58" i="8"/>
  <c r="W57" i="8"/>
  <c r="W61" i="8"/>
  <c r="W58" i="8"/>
  <c r="W59" i="8"/>
  <c r="W60" i="8"/>
  <c r="AF62" i="8"/>
  <c r="AI62" i="8"/>
  <c r="AP14" i="6"/>
  <c r="BA14" i="6"/>
  <c r="AI21" i="8"/>
  <c r="AF22" i="8"/>
  <c r="AF20" i="8"/>
  <c r="AC43" i="8"/>
  <c r="AO19" i="8"/>
  <c r="AO20" i="8"/>
  <c r="Z43" i="8"/>
  <c r="AF19" i="8"/>
  <c r="AF39" i="8"/>
  <c r="AF40" i="8"/>
  <c r="AF41" i="8"/>
  <c r="AF42" i="8"/>
  <c r="W43" i="8"/>
  <c r="AI19" i="8"/>
  <c r="AI42" i="8"/>
  <c r="AI39" i="8"/>
  <c r="AI40" i="8"/>
  <c r="AI41" i="8"/>
  <c r="W23" i="8"/>
  <c r="AI22" i="8"/>
  <c r="Z23" i="8"/>
  <c r="AC23" i="8"/>
  <c r="AR19" i="8"/>
  <c r="AR20" i="8"/>
  <c r="AL4" i="8"/>
  <c r="AS17" i="6"/>
  <c r="AS9" i="6" s="1"/>
  <c r="AM17" i="6"/>
  <c r="AM9" i="6" s="1"/>
  <c r="AV16" i="6"/>
  <c r="U16" i="8"/>
  <c r="U9" i="8" s="1"/>
  <c r="AM14" i="8"/>
  <c r="U15" i="8"/>
  <c r="AM16" i="8"/>
  <c r="U14" i="8"/>
  <c r="BB16" i="6"/>
  <c r="AA16" i="6"/>
  <c r="AG15" i="6"/>
  <c r="U11" i="9"/>
  <c r="AY11" i="9"/>
  <c r="T12" i="9"/>
  <c r="T11" i="9"/>
  <c r="U12" i="9"/>
  <c r="AV11" i="9"/>
  <c r="BB11" i="9"/>
  <c r="BA11" i="9"/>
  <c r="AU11" i="9"/>
  <c r="AL14" i="8"/>
  <c r="AL16" i="8"/>
  <c r="AL9" i="8" s="1"/>
  <c r="T16" i="8"/>
  <c r="T9" i="8" s="1"/>
  <c r="T15" i="8"/>
  <c r="T14" i="8"/>
  <c r="AF14" i="6"/>
  <c r="AF17" i="6"/>
  <c r="AF9" i="6" s="1"/>
  <c r="AF15" i="6"/>
  <c r="AJ17" i="6"/>
  <c r="AJ9" i="6" s="1"/>
  <c r="AG17" i="6"/>
  <c r="AG9" i="6" s="1"/>
  <c r="AP16" i="6"/>
  <c r="AD15" i="6"/>
  <c r="AL14" i="6"/>
  <c r="AM14" i="6"/>
  <c r="BB17" i="6"/>
  <c r="AM16" i="6"/>
  <c r="AV15" i="6"/>
  <c r="AA15" i="6"/>
  <c r="AJ14" i="6"/>
  <c r="AS16" i="6"/>
  <c r="AY17" i="6"/>
  <c r="AY9" i="6" s="1"/>
  <c r="AD17" i="6"/>
  <c r="AD9" i="6" s="1"/>
  <c r="AL16" i="6"/>
  <c r="AS15" i="6"/>
  <c r="BB14" i="6"/>
  <c r="AG14" i="6"/>
  <c r="AV17" i="6"/>
  <c r="AV9" i="6" s="1"/>
  <c r="AA17" i="6"/>
  <c r="AA9" i="6" s="1"/>
  <c r="AJ16" i="6"/>
  <c r="AP15" i="6"/>
  <c r="AY14" i="6"/>
  <c r="AD14" i="6"/>
  <c r="AG16" i="6"/>
  <c r="AM15" i="6"/>
  <c r="AV14" i="6"/>
  <c r="AA14" i="6"/>
  <c r="AP17" i="6"/>
  <c r="AP9" i="6" s="1"/>
  <c r="AY16" i="6"/>
  <c r="AD16" i="6"/>
  <c r="AJ15" i="6"/>
  <c r="AS14" i="6"/>
  <c r="AX17" i="6"/>
  <c r="AX9" i="6" s="1"/>
  <c r="AX14" i="6"/>
  <c r="AX16" i="6"/>
  <c r="Z14" i="6"/>
  <c r="Z15" i="6"/>
  <c r="Z9" i="6"/>
  <c r="Z16" i="6"/>
  <c r="AO14" i="6"/>
  <c r="AO16" i="6"/>
  <c r="AO15" i="6"/>
  <c r="AO17" i="6"/>
  <c r="AO9" i="6" s="1"/>
  <c r="BA17" i="6"/>
  <c r="BA9" i="6" s="1"/>
  <c r="AC17" i="6"/>
  <c r="AC9" i="6" s="1"/>
  <c r="AU16" i="6"/>
  <c r="AI16" i="6"/>
  <c r="AC15" i="6"/>
  <c r="AU14" i="6"/>
  <c r="AI14" i="6"/>
  <c r="AR17" i="6"/>
  <c r="AR9" i="6" s="1"/>
  <c r="AL17" i="6"/>
  <c r="AL9" i="6" s="1"/>
  <c r="AR16" i="6"/>
  <c r="AF16" i="6"/>
  <c r="AR14" i="6"/>
  <c r="AU17" i="6"/>
  <c r="AU9" i="6" s="1"/>
  <c r="AI17" i="6"/>
  <c r="AI9" i="6" s="1"/>
  <c r="BA16" i="6"/>
  <c r="AC16" i="6"/>
  <c r="BC87" i="6"/>
  <c r="BC89" i="8"/>
  <c r="BC100" i="8"/>
  <c r="AL23" i="8" l="1"/>
  <c r="AO43" i="8"/>
  <c r="AR43" i="8"/>
  <c r="AP17" i="8"/>
  <c r="AI37" i="8"/>
  <c r="Z13" i="9"/>
  <c r="AA13" i="9"/>
  <c r="AM13" i="9"/>
  <c r="AO37" i="8"/>
  <c r="AL13" i="9"/>
  <c r="AC13" i="9"/>
  <c r="AD13" i="9"/>
  <c r="AP13" i="9"/>
  <c r="AS13" i="9"/>
  <c r="AS17" i="8"/>
  <c r="AJ13" i="9"/>
  <c r="AF37" i="8"/>
  <c r="X13" i="9"/>
  <c r="AU43" i="8"/>
  <c r="AA17" i="8"/>
  <c r="Z17" i="8"/>
  <c r="AF17" i="8"/>
  <c r="AO62" i="8"/>
  <c r="BA49" i="8"/>
  <c r="AI17" i="8"/>
  <c r="W17" i="8"/>
  <c r="X17" i="8"/>
  <c r="AO49" i="8"/>
  <c r="AG17" i="8"/>
  <c r="AJ17" i="8"/>
  <c r="AR37" i="8"/>
  <c r="AD17" i="8"/>
  <c r="AX49" i="8"/>
  <c r="AO13" i="9"/>
  <c r="AF13" i="9"/>
  <c r="AG13" i="9"/>
  <c r="AI13" i="9"/>
  <c r="AR13" i="9"/>
  <c r="W13" i="9"/>
  <c r="AO17" i="8"/>
  <c r="AR17" i="8"/>
  <c r="AC17" i="8"/>
  <c r="W62" i="8"/>
  <c r="AC62" i="8"/>
  <c r="BB18" i="6"/>
  <c r="AY18" i="6"/>
  <c r="BA18" i="6"/>
  <c r="AX18" i="6"/>
  <c r="AY13" i="9"/>
  <c r="BB13" i="9"/>
  <c r="AF23" i="8"/>
  <c r="AO23" i="8"/>
  <c r="AI23" i="8"/>
  <c r="AF43" i="8"/>
  <c r="AI43" i="8"/>
  <c r="AR23" i="8"/>
  <c r="AV18" i="6"/>
  <c r="AF18" i="6"/>
  <c r="BC15" i="8"/>
  <c r="BC14" i="8"/>
  <c r="U17" i="8"/>
  <c r="BC16" i="8"/>
  <c r="AV13" i="9"/>
  <c r="AM17" i="8"/>
  <c r="AL18" i="6"/>
  <c r="AM18" i="6"/>
  <c r="AS18" i="6"/>
  <c r="AI18" i="6"/>
  <c r="BB9" i="6"/>
  <c r="BD9" i="6" s="1"/>
  <c r="BC11" i="9"/>
  <c r="BC12" i="9"/>
  <c r="U13" i="9"/>
  <c r="BA13" i="9"/>
  <c r="AU13" i="9"/>
  <c r="T17" i="8"/>
  <c r="AL17" i="8"/>
  <c r="BC17" i="6"/>
  <c r="BC16" i="6"/>
  <c r="AP18" i="6"/>
  <c r="AG18" i="6"/>
  <c r="AC18" i="6"/>
  <c r="AJ18" i="6"/>
  <c r="AA18" i="6"/>
  <c r="AD18" i="6"/>
  <c r="AU18" i="6"/>
  <c r="Z18" i="6"/>
  <c r="AR18" i="6"/>
  <c r="AO18" i="6"/>
  <c r="AY97" i="6"/>
  <c r="AV97" i="6"/>
  <c r="AS97" i="6"/>
  <c r="AP97" i="6"/>
  <c r="AM97" i="6"/>
  <c r="AJ97" i="6"/>
  <c r="AG97" i="6"/>
  <c r="AD97" i="6"/>
  <c r="AP76" i="6"/>
  <c r="AM76" i="6"/>
  <c r="AJ76" i="6"/>
  <c r="AG76" i="6"/>
  <c r="AD76" i="6"/>
  <c r="AA76" i="6"/>
  <c r="X76" i="6"/>
  <c r="BB73" i="6"/>
  <c r="AY73" i="6"/>
  <c r="AV73" i="6"/>
  <c r="AS73" i="6"/>
  <c r="AP73" i="6"/>
  <c r="AM73" i="6"/>
  <c r="AJ73" i="6"/>
  <c r="AG73" i="6"/>
  <c r="AD73" i="6"/>
  <c r="AA73" i="6"/>
  <c r="BC17" i="8" l="1"/>
  <c r="BF9" i="6"/>
  <c r="BE9" i="6"/>
  <c r="BC13" i="9"/>
  <c r="BC97" i="6"/>
  <c r="BC76" i="6"/>
  <c r="BG9" i="6" l="1"/>
  <c r="B34" i="4" s="1"/>
  <c r="X73" i="6"/>
  <c r="BC73" i="6" s="1"/>
  <c r="AM92" i="6"/>
  <c r="AJ92" i="6"/>
  <c r="AG92" i="6"/>
  <c r="AD92" i="6"/>
  <c r="AA92" i="6"/>
  <c r="X92" i="6"/>
  <c r="BC92" i="6" l="1"/>
  <c r="BB10" i="10"/>
  <c r="BB3" i="10" s="1"/>
  <c r="AY10" i="10"/>
  <c r="AY3" i="10" s="1"/>
  <c r="AV10" i="10"/>
  <c r="AV3" i="10" s="1"/>
  <c r="AS10" i="10"/>
  <c r="AS3" i="10" s="1"/>
  <c r="AP10" i="10"/>
  <c r="AP3" i="10" s="1"/>
  <c r="AM10" i="10"/>
  <c r="AM3" i="10" s="1"/>
  <c r="AJ10" i="10"/>
  <c r="AJ3" i="10" s="1"/>
  <c r="AG10" i="10"/>
  <c r="AG3" i="10" s="1"/>
  <c r="AD10" i="10"/>
  <c r="AD3" i="10" s="1"/>
  <c r="AA10" i="10"/>
  <c r="AA3" i="10" s="1"/>
  <c r="X10" i="10"/>
  <c r="X3" i="10" s="1"/>
  <c r="U10" i="10"/>
  <c r="U3" i="10" s="1"/>
  <c r="BF3" i="10"/>
  <c r="BA3" i="10"/>
  <c r="AZ3" i="10"/>
  <c r="AX3" i="10"/>
  <c r="AW3" i="10"/>
  <c r="AU3" i="10"/>
  <c r="AT3" i="10"/>
  <c r="AR3" i="10"/>
  <c r="AQ3" i="10"/>
  <c r="AO3" i="10"/>
  <c r="AN3" i="10"/>
  <c r="AL3" i="10"/>
  <c r="AK3" i="10"/>
  <c r="AI3" i="10"/>
  <c r="AH3" i="10"/>
  <c r="AF3" i="10"/>
  <c r="AE3" i="10"/>
  <c r="AC3" i="10"/>
  <c r="AB3" i="10"/>
  <c r="Z3" i="10"/>
  <c r="Y3" i="10"/>
  <c r="W3" i="10"/>
  <c r="V3" i="10"/>
  <c r="T3" i="10"/>
  <c r="S3" i="10"/>
  <c r="AZ2" i="10"/>
  <c r="AW2" i="10"/>
  <c r="AT2" i="10"/>
  <c r="AQ2" i="10"/>
  <c r="AN2" i="10"/>
  <c r="AK2" i="10"/>
  <c r="AH2" i="10"/>
  <c r="AE2" i="10"/>
  <c r="AB2" i="10"/>
  <c r="Y2" i="10"/>
  <c r="V2" i="10"/>
  <c r="S2" i="10"/>
  <c r="BB52" i="9"/>
  <c r="BB4" i="9" s="1"/>
  <c r="AY52" i="9"/>
  <c r="AV52" i="9"/>
  <c r="AV4" i="9" s="1"/>
  <c r="AS52" i="9"/>
  <c r="AS4" i="9" s="1"/>
  <c r="AP52" i="9"/>
  <c r="AP4" i="9" s="1"/>
  <c r="AM52" i="9"/>
  <c r="AM4" i="9" s="1"/>
  <c r="AJ52" i="9"/>
  <c r="AJ4" i="9" s="1"/>
  <c r="AG52" i="9"/>
  <c r="AD52" i="9"/>
  <c r="AD4" i="9" s="1"/>
  <c r="AA52" i="9"/>
  <c r="AA4" i="9" s="1"/>
  <c r="X52" i="9"/>
  <c r="X4" i="9" s="1"/>
  <c r="U52" i="9"/>
  <c r="U4" i="9" s="1"/>
  <c r="BB112" i="8"/>
  <c r="BB5" i="8" s="1"/>
  <c r="AY112" i="8"/>
  <c r="AY5" i="8" s="1"/>
  <c r="AV112" i="8"/>
  <c r="AV5" i="8" s="1"/>
  <c r="AS112" i="8"/>
  <c r="AS5" i="8" s="1"/>
  <c r="AP112" i="8"/>
  <c r="AP5" i="8" s="1"/>
  <c r="AM112" i="8"/>
  <c r="AM5" i="8" s="1"/>
  <c r="AJ112" i="8"/>
  <c r="AJ5" i="8" s="1"/>
  <c r="AG112" i="8"/>
  <c r="AG5" i="8" s="1"/>
  <c r="AD112" i="8"/>
  <c r="AD5" i="8" s="1"/>
  <c r="AA112" i="8"/>
  <c r="AA5" i="8" s="1"/>
  <c r="X112" i="8"/>
  <c r="X5" i="8" s="1"/>
  <c r="U112" i="8"/>
  <c r="U5" i="8" s="1"/>
  <c r="BB107" i="6"/>
  <c r="AY107" i="6"/>
  <c r="AV107" i="6"/>
  <c r="AS107" i="6"/>
  <c r="AP107" i="6"/>
  <c r="AM107" i="6"/>
  <c r="AJ107" i="6"/>
  <c r="AG107" i="6"/>
  <c r="AD107" i="6"/>
  <c r="AA107" i="6"/>
  <c r="X107" i="6"/>
  <c r="U107" i="6"/>
  <c r="BB111" i="8"/>
  <c r="AY111" i="8"/>
  <c r="AV111" i="8"/>
  <c r="AS111" i="8"/>
  <c r="AP111" i="8"/>
  <c r="AM111" i="8"/>
  <c r="AJ111" i="8"/>
  <c r="AG111" i="8"/>
  <c r="AD111" i="8"/>
  <c r="AA111" i="8"/>
  <c r="X111" i="8"/>
  <c r="U111" i="8"/>
  <c r="BB110" i="8"/>
  <c r="AY110" i="8"/>
  <c r="AV110" i="8"/>
  <c r="AS110" i="8"/>
  <c r="AP110" i="8"/>
  <c r="AM110" i="8"/>
  <c r="AJ110" i="8"/>
  <c r="AG110" i="8"/>
  <c r="AD110" i="8"/>
  <c r="AA110" i="8"/>
  <c r="X110" i="8"/>
  <c r="U110" i="8"/>
  <c r="BB109" i="8"/>
  <c r="AY109" i="8"/>
  <c r="AV109" i="8"/>
  <c r="AS109" i="8"/>
  <c r="AP109" i="8"/>
  <c r="AM109" i="8"/>
  <c r="AJ109" i="8"/>
  <c r="AG109" i="8"/>
  <c r="AD109" i="8"/>
  <c r="AA109" i="8"/>
  <c r="X109" i="8"/>
  <c r="U109" i="8"/>
  <c r="BB108" i="8"/>
  <c r="AY108" i="8"/>
  <c r="AV108" i="8"/>
  <c r="AS108" i="8"/>
  <c r="AP108" i="8"/>
  <c r="AM108" i="8"/>
  <c r="AJ108" i="8"/>
  <c r="AG108" i="8"/>
  <c r="AD108" i="8"/>
  <c r="AA108" i="8"/>
  <c r="X108" i="8"/>
  <c r="U108" i="8"/>
  <c r="BB106" i="8"/>
  <c r="AY106" i="8"/>
  <c r="AV106" i="8"/>
  <c r="AS106" i="8"/>
  <c r="AP106" i="8"/>
  <c r="AM106" i="8"/>
  <c r="AJ106" i="8"/>
  <c r="AG106" i="8"/>
  <c r="AD106" i="8"/>
  <c r="AA106" i="8"/>
  <c r="X106" i="8"/>
  <c r="U106" i="8"/>
  <c r="BB105" i="8"/>
  <c r="AY105" i="8"/>
  <c r="AV105" i="8"/>
  <c r="AS105" i="8"/>
  <c r="AP105" i="8"/>
  <c r="AM105" i="8"/>
  <c r="AJ105" i="8"/>
  <c r="AG105" i="8"/>
  <c r="AD105" i="8"/>
  <c r="AA105" i="8"/>
  <c r="X105" i="8"/>
  <c r="U105" i="8"/>
  <c r="BB104" i="8"/>
  <c r="BB7" i="8" s="1"/>
  <c r="AY104" i="8"/>
  <c r="AY7" i="8" s="1"/>
  <c r="AV104" i="8"/>
  <c r="AV7" i="8" s="1"/>
  <c r="AS104" i="8"/>
  <c r="AP104" i="8"/>
  <c r="AM104" i="8"/>
  <c r="AJ104" i="8"/>
  <c r="AG104" i="8"/>
  <c r="AD104" i="8"/>
  <c r="AA104" i="8"/>
  <c r="X104" i="8"/>
  <c r="U104" i="8"/>
  <c r="BB106" i="6"/>
  <c r="AY106" i="6"/>
  <c r="AV106" i="6"/>
  <c r="AS106" i="6"/>
  <c r="AP106" i="6"/>
  <c r="AM106" i="6"/>
  <c r="AJ106" i="6"/>
  <c r="AG106" i="6"/>
  <c r="AD106" i="6"/>
  <c r="AA106" i="6"/>
  <c r="X106" i="6"/>
  <c r="BB105" i="6"/>
  <c r="AY105" i="6"/>
  <c r="AV105" i="6"/>
  <c r="AS105" i="6"/>
  <c r="AP105" i="6"/>
  <c r="AM105" i="6"/>
  <c r="AJ105" i="6"/>
  <c r="AG105" i="6"/>
  <c r="AD105" i="6"/>
  <c r="AA105" i="6"/>
  <c r="X105" i="6"/>
  <c r="BB104" i="6"/>
  <c r="AY104" i="6"/>
  <c r="AV104" i="6"/>
  <c r="AS104" i="6"/>
  <c r="AP104" i="6"/>
  <c r="AM104" i="6"/>
  <c r="AJ104" i="6"/>
  <c r="AG104" i="6"/>
  <c r="AD104" i="6"/>
  <c r="AA104" i="6"/>
  <c r="X104" i="6"/>
  <c r="BB103" i="6"/>
  <c r="AY103" i="6"/>
  <c r="AV103" i="6"/>
  <c r="AS103" i="6"/>
  <c r="AP103" i="6"/>
  <c r="AM103" i="6"/>
  <c r="AJ103" i="6"/>
  <c r="AG103" i="6"/>
  <c r="AD103" i="6"/>
  <c r="AA103" i="6"/>
  <c r="X103" i="6"/>
  <c r="BB102" i="6"/>
  <c r="AY102" i="6"/>
  <c r="AV102" i="6"/>
  <c r="AS102" i="6"/>
  <c r="AP102" i="6"/>
  <c r="AM102" i="6"/>
  <c r="AJ102" i="6"/>
  <c r="AG102" i="6"/>
  <c r="AD102" i="6"/>
  <c r="AA102" i="6"/>
  <c r="X102" i="6"/>
  <c r="BB101" i="6"/>
  <c r="AY101" i="6"/>
  <c r="AV101" i="6"/>
  <c r="AS101" i="6"/>
  <c r="AP101" i="6"/>
  <c r="AM101" i="6"/>
  <c r="AJ101" i="6"/>
  <c r="AG101" i="6"/>
  <c r="AD101" i="6"/>
  <c r="AA101" i="6"/>
  <c r="X101" i="6"/>
  <c r="BB100" i="6"/>
  <c r="AY100" i="6"/>
  <c r="AV100" i="6"/>
  <c r="AS100" i="6"/>
  <c r="AP100" i="6"/>
  <c r="AM100" i="6"/>
  <c r="AJ100" i="6"/>
  <c r="AG100" i="6"/>
  <c r="AD100" i="6"/>
  <c r="AA100" i="6"/>
  <c r="X100" i="6"/>
  <c r="U101" i="6"/>
  <c r="U102" i="6"/>
  <c r="U103" i="6"/>
  <c r="U100" i="6"/>
  <c r="U106" i="6"/>
  <c r="U105" i="6"/>
  <c r="D30" i="4"/>
  <c r="E26" i="4"/>
  <c r="E22" i="4"/>
  <c r="H17" i="4"/>
  <c r="B13" i="4"/>
  <c r="H13" i="4" s="1"/>
  <c r="G7" i="4"/>
  <c r="BC63" i="8"/>
  <c r="BC56" i="8"/>
  <c r="BC50" i="8"/>
  <c r="BC44" i="8"/>
  <c r="BC38" i="8"/>
  <c r="BC30" i="8"/>
  <c r="BC24" i="8"/>
  <c r="AZ42" i="9"/>
  <c r="BA43" i="9" s="1"/>
  <c r="AW42" i="9"/>
  <c r="AX43" i="9" s="1"/>
  <c r="AT42" i="9"/>
  <c r="AU43" i="9" s="1"/>
  <c r="AQ42" i="9"/>
  <c r="AR43" i="9" s="1"/>
  <c r="AN42" i="9"/>
  <c r="AO43" i="9" s="1"/>
  <c r="AK42" i="9"/>
  <c r="AL43" i="9" s="1"/>
  <c r="AH42" i="9"/>
  <c r="AE42" i="9"/>
  <c r="AF43" i="9" s="1"/>
  <c r="AB42" i="9"/>
  <c r="Y42" i="9"/>
  <c r="Z43" i="9" s="1"/>
  <c r="V42" i="9"/>
  <c r="AW33" i="9"/>
  <c r="AX34" i="9" s="1"/>
  <c r="BC43" i="9"/>
  <c r="BC39" i="9"/>
  <c r="BC34" i="9"/>
  <c r="BC30" i="9"/>
  <c r="BC22" i="9"/>
  <c r="BC18" i="9"/>
  <c r="AH21" i="9"/>
  <c r="AI22" i="9" s="1"/>
  <c r="AE21" i="9"/>
  <c r="AF22" i="9" s="1"/>
  <c r="AB21" i="9"/>
  <c r="AC22" i="9" s="1"/>
  <c r="Y21" i="9"/>
  <c r="Z22" i="9" s="1"/>
  <c r="V21" i="9"/>
  <c r="W22" i="9" s="1"/>
  <c r="S21" i="9"/>
  <c r="T22" i="9" s="1"/>
  <c r="AZ17" i="9"/>
  <c r="BA18" i="9" s="1"/>
  <c r="AW17" i="9"/>
  <c r="AX18" i="9" s="1"/>
  <c r="AT17" i="9"/>
  <c r="AU18" i="9" s="1"/>
  <c r="AQ17" i="9"/>
  <c r="AN17" i="9"/>
  <c r="AO18" i="9" s="1"/>
  <c r="AK17" i="9"/>
  <c r="AL18" i="9" s="1"/>
  <c r="AH17" i="9"/>
  <c r="AE17" i="9"/>
  <c r="AF18" i="9" s="1"/>
  <c r="AB17" i="9"/>
  <c r="AC18" i="9" s="1"/>
  <c r="Y17" i="9"/>
  <c r="Z18" i="9" s="1"/>
  <c r="V17" i="9"/>
  <c r="W18" i="9" s="1"/>
  <c r="AA50" i="9"/>
  <c r="X50" i="9"/>
  <c r="U50" i="9"/>
  <c r="AA101" i="8"/>
  <c r="X101" i="8"/>
  <c r="U101" i="8"/>
  <c r="AS99" i="8"/>
  <c r="AP99" i="8"/>
  <c r="AM99" i="8"/>
  <c r="AJ99" i="8"/>
  <c r="AG99" i="8"/>
  <c r="AD99" i="8"/>
  <c r="AA99" i="8"/>
  <c r="X99" i="8"/>
  <c r="U99" i="8"/>
  <c r="AS98" i="8"/>
  <c r="AP98" i="8"/>
  <c r="AM98" i="8"/>
  <c r="AJ98" i="8"/>
  <c r="AG98" i="8"/>
  <c r="AD98" i="8"/>
  <c r="AA98" i="8"/>
  <c r="X98" i="8"/>
  <c r="U98" i="8"/>
  <c r="AS96" i="8"/>
  <c r="AP96" i="8"/>
  <c r="AM96" i="8"/>
  <c r="AJ96" i="8"/>
  <c r="AG96" i="8"/>
  <c r="AD96" i="8"/>
  <c r="AA96" i="8"/>
  <c r="X96" i="8"/>
  <c r="U96" i="8"/>
  <c r="AS95" i="8"/>
  <c r="AP95" i="8"/>
  <c r="AM95" i="8"/>
  <c r="AJ95" i="8"/>
  <c r="AG95" i="8"/>
  <c r="AD95" i="8"/>
  <c r="AA95" i="8"/>
  <c r="X95" i="8"/>
  <c r="U95" i="8"/>
  <c r="X94" i="8"/>
  <c r="U94" i="8"/>
  <c r="AS93" i="8"/>
  <c r="AP93" i="8"/>
  <c r="AM93" i="8"/>
  <c r="AJ93" i="8"/>
  <c r="AG93" i="8"/>
  <c r="AD93" i="8"/>
  <c r="AA93" i="8"/>
  <c r="X93" i="8"/>
  <c r="U93" i="8"/>
  <c r="U91" i="8"/>
  <c r="AA90" i="8"/>
  <c r="X90" i="8"/>
  <c r="U90" i="8"/>
  <c r="AS88" i="8"/>
  <c r="AP88" i="8"/>
  <c r="AM88" i="8"/>
  <c r="AJ88" i="8"/>
  <c r="AG88" i="8"/>
  <c r="AD88" i="8"/>
  <c r="AA88" i="8"/>
  <c r="X88" i="8"/>
  <c r="U88" i="8"/>
  <c r="U82" i="8"/>
  <c r="U80" i="8"/>
  <c r="U79" i="8"/>
  <c r="AS76" i="8"/>
  <c r="AP76" i="8"/>
  <c r="AM76" i="8"/>
  <c r="AJ76" i="8"/>
  <c r="AG76" i="8"/>
  <c r="AD76" i="8"/>
  <c r="AA76" i="8"/>
  <c r="X76" i="8"/>
  <c r="U76" i="8"/>
  <c r="AP75" i="8"/>
  <c r="AM75" i="8"/>
  <c r="AJ75" i="8"/>
  <c r="AG75" i="8"/>
  <c r="AD75" i="8"/>
  <c r="AA75" i="8"/>
  <c r="X75" i="8"/>
  <c r="U75" i="8"/>
  <c r="AS73" i="8"/>
  <c r="AP73" i="8"/>
  <c r="AM73" i="8"/>
  <c r="AJ73" i="8"/>
  <c r="AG73" i="8"/>
  <c r="AD73" i="8"/>
  <c r="AA73" i="8"/>
  <c r="X73" i="8"/>
  <c r="U73" i="8"/>
  <c r="BB70" i="8"/>
  <c r="AY70" i="8"/>
  <c r="AV70" i="8"/>
  <c r="AS70" i="8"/>
  <c r="AP70" i="8"/>
  <c r="AM70" i="8"/>
  <c r="AJ70" i="8"/>
  <c r="AG70" i="8"/>
  <c r="AD70" i="8"/>
  <c r="AA70" i="8"/>
  <c r="X70" i="8"/>
  <c r="U70" i="8"/>
  <c r="S38" i="9"/>
  <c r="U37" i="9" s="1"/>
  <c r="AQ55" i="8"/>
  <c r="AN55" i="8"/>
  <c r="AO56" i="8" s="1"/>
  <c r="AK55" i="8"/>
  <c r="AL56" i="8" s="1"/>
  <c r="AH55" i="8"/>
  <c r="AE55" i="8"/>
  <c r="AF56" i="8" s="1"/>
  <c r="AB55" i="8"/>
  <c r="AC56" i="8" s="1"/>
  <c r="Y55" i="8"/>
  <c r="Z56" i="8" s="1"/>
  <c r="V55" i="8"/>
  <c r="W56" i="8" s="1"/>
  <c r="S55" i="8"/>
  <c r="U52" i="8" s="1"/>
  <c r="BC53" i="6"/>
  <c r="Y52" i="6"/>
  <c r="Z53" i="6" s="1"/>
  <c r="AB52" i="6"/>
  <c r="AE52" i="6"/>
  <c r="AH52" i="6"/>
  <c r="AI53" i="6" s="1"/>
  <c r="AK52" i="6"/>
  <c r="AN52" i="6"/>
  <c r="AQ52" i="6"/>
  <c r="AT52" i="6"/>
  <c r="AW52" i="6"/>
  <c r="AZ52" i="6"/>
  <c r="V52" i="6"/>
  <c r="S52" i="6"/>
  <c r="T53" i="6" s="1"/>
  <c r="Q49" i="6"/>
  <c r="S42" i="9"/>
  <c r="BC35" i="9"/>
  <c r="S33" i="9"/>
  <c r="T34" i="9" s="1"/>
  <c r="S29" i="9"/>
  <c r="AZ21" i="9"/>
  <c r="BA22" i="9" s="1"/>
  <c r="AW21" i="9"/>
  <c r="AX22" i="9" s="1"/>
  <c r="AT21" i="9"/>
  <c r="AU22" i="9" s="1"/>
  <c r="AQ21" i="9"/>
  <c r="AR22" i="9" s="1"/>
  <c r="AN21" i="9"/>
  <c r="AO22" i="9" s="1"/>
  <c r="AK21" i="9"/>
  <c r="AL22" i="9" s="1"/>
  <c r="S17" i="9"/>
  <c r="BC9" i="9"/>
  <c r="AZ5" i="9"/>
  <c r="AW5" i="9"/>
  <c r="AT5" i="9"/>
  <c r="AQ5" i="9"/>
  <c r="AN5" i="9"/>
  <c r="AK5" i="9"/>
  <c r="AH5" i="9"/>
  <c r="AE5" i="9"/>
  <c r="AB5" i="9"/>
  <c r="Y5" i="9"/>
  <c r="V5" i="9"/>
  <c r="S5" i="9"/>
  <c r="BF4" i="9"/>
  <c r="BA4" i="9"/>
  <c r="AZ4" i="9"/>
  <c r="AY4" i="9"/>
  <c r="AX4" i="9"/>
  <c r="AW4" i="9"/>
  <c r="AU4" i="9"/>
  <c r="AT4" i="9"/>
  <c r="AR4" i="9"/>
  <c r="AQ4" i="9"/>
  <c r="AO4" i="9"/>
  <c r="AN4" i="9"/>
  <c r="AL4" i="9"/>
  <c r="AK4" i="9"/>
  <c r="AI4" i="9"/>
  <c r="AH4" i="9"/>
  <c r="AG4" i="9"/>
  <c r="AF4" i="9"/>
  <c r="AE4" i="9"/>
  <c r="AC4" i="9"/>
  <c r="AB4" i="9"/>
  <c r="Z4" i="9"/>
  <c r="Y4" i="9"/>
  <c r="W4" i="9"/>
  <c r="V4" i="9"/>
  <c r="T4" i="9"/>
  <c r="S4" i="9"/>
  <c r="AZ3" i="9"/>
  <c r="AW3" i="9"/>
  <c r="AT3" i="9"/>
  <c r="AQ3" i="9"/>
  <c r="AN3" i="9"/>
  <c r="AK3" i="9"/>
  <c r="AH3" i="9"/>
  <c r="AE3" i="9"/>
  <c r="AB3" i="9"/>
  <c r="Y3" i="9"/>
  <c r="V3" i="9"/>
  <c r="S3" i="9"/>
  <c r="S2" i="9"/>
  <c r="BB72" i="6"/>
  <c r="AY72" i="6"/>
  <c r="AV72" i="6"/>
  <c r="AS72" i="6"/>
  <c r="AP72" i="6"/>
  <c r="AM72" i="6"/>
  <c r="AJ72" i="6"/>
  <c r="AG72" i="6"/>
  <c r="AD72" i="6"/>
  <c r="AA72" i="6"/>
  <c r="X72" i="6"/>
  <c r="U72" i="6"/>
  <c r="BB70" i="6"/>
  <c r="AY70" i="6"/>
  <c r="AV70" i="6"/>
  <c r="AS70" i="6"/>
  <c r="AP70" i="6"/>
  <c r="AM70" i="6"/>
  <c r="AJ70" i="6"/>
  <c r="AG70" i="6"/>
  <c r="AD70" i="6"/>
  <c r="AA70" i="6"/>
  <c r="X70" i="6"/>
  <c r="U70" i="6"/>
  <c r="AL36" i="9" l="1"/>
  <c r="AL38" i="9" s="1"/>
  <c r="AL37" i="9"/>
  <c r="AR36" i="9"/>
  <c r="AR37" i="9"/>
  <c r="AL28" i="9"/>
  <c r="AL27" i="9"/>
  <c r="W28" i="9"/>
  <c r="W27" i="9"/>
  <c r="W29" i="9" s="1"/>
  <c r="AU28" i="9"/>
  <c r="AU27" i="9"/>
  <c r="AU36" i="9"/>
  <c r="AU37" i="9"/>
  <c r="AO28" i="9"/>
  <c r="AO27" i="9"/>
  <c r="AO36" i="9"/>
  <c r="AO37" i="9"/>
  <c r="Z19" i="9"/>
  <c r="Z28" i="9"/>
  <c r="Z27" i="9"/>
  <c r="AX27" i="9"/>
  <c r="AX28" i="9"/>
  <c r="Z37" i="9"/>
  <c r="Z36" i="9"/>
  <c r="AX36" i="9"/>
  <c r="AX38" i="9" s="1"/>
  <c r="AX37" i="9"/>
  <c r="AC28" i="9"/>
  <c r="AC27" i="9"/>
  <c r="BA28" i="9"/>
  <c r="BA27" i="9"/>
  <c r="BA36" i="9"/>
  <c r="BA37" i="9"/>
  <c r="AF27" i="9"/>
  <c r="AF29" i="9" s="1"/>
  <c r="AF28" i="9"/>
  <c r="AF36" i="9"/>
  <c r="AF37" i="9"/>
  <c r="T30" i="9"/>
  <c r="U28" i="9"/>
  <c r="T18" i="9"/>
  <c r="T27" i="9" s="1"/>
  <c r="T20" i="9" s="1"/>
  <c r="T6" i="9" s="1"/>
  <c r="U15" i="9"/>
  <c r="U16" i="9"/>
  <c r="AO32" i="9"/>
  <c r="AO31" i="9"/>
  <c r="AR31" i="9"/>
  <c r="AR32" i="9"/>
  <c r="AL32" i="9"/>
  <c r="AL31" i="9"/>
  <c r="AU31" i="9"/>
  <c r="AU32" i="9"/>
  <c r="Z31" i="9"/>
  <c r="Z32" i="9"/>
  <c r="BA31" i="9"/>
  <c r="BA33" i="9" s="1"/>
  <c r="AF31" i="9"/>
  <c r="AF32" i="9"/>
  <c r="AS54" i="8"/>
  <c r="AS52" i="8"/>
  <c r="AS53" i="8"/>
  <c r="AV19" i="9"/>
  <c r="AV21" i="9" s="1"/>
  <c r="AS20" i="9"/>
  <c r="AS6" i="9" s="1"/>
  <c r="U20" i="9"/>
  <c r="U6" i="9" s="1"/>
  <c r="AG20" i="9"/>
  <c r="AG6" i="9" s="1"/>
  <c r="AP20" i="9"/>
  <c r="AP6" i="9" s="1"/>
  <c r="AD20" i="9"/>
  <c r="AD6" i="9" s="1"/>
  <c r="AM20" i="9"/>
  <c r="AM6" i="9" s="1"/>
  <c r="AJ20" i="9"/>
  <c r="AJ6" i="9" s="1"/>
  <c r="AA20" i="9"/>
  <c r="AA6" i="9" s="1"/>
  <c r="X20" i="9"/>
  <c r="X6" i="9" s="1"/>
  <c r="T39" i="9"/>
  <c r="U36" i="9"/>
  <c r="AG41" i="9"/>
  <c r="G13" i="4"/>
  <c r="AO53" i="6"/>
  <c r="AO50" i="6" s="1"/>
  <c r="AP49" i="6"/>
  <c r="T51" i="6"/>
  <c r="T49" i="6"/>
  <c r="T50" i="6"/>
  <c r="AI49" i="6"/>
  <c r="AI51" i="6"/>
  <c r="AI50" i="6"/>
  <c r="Z51" i="6"/>
  <c r="Z50" i="6"/>
  <c r="Z49" i="6"/>
  <c r="X16" i="9"/>
  <c r="AS15" i="9"/>
  <c r="AD40" i="9"/>
  <c r="AC43" i="9"/>
  <c r="AA19" i="9"/>
  <c r="X41" i="9"/>
  <c r="AU41" i="9"/>
  <c r="AU40" i="9"/>
  <c r="AF15" i="9"/>
  <c r="AF19" i="9"/>
  <c r="AL16" i="9"/>
  <c r="AL15" i="9"/>
  <c r="U41" i="9"/>
  <c r="AG15" i="9"/>
  <c r="AA16" i="9"/>
  <c r="AP40" i="9"/>
  <c r="AM41" i="9"/>
  <c r="AJ41" i="9"/>
  <c r="AG16" i="9"/>
  <c r="AC19" i="9"/>
  <c r="AS40" i="9"/>
  <c r="AP41" i="9"/>
  <c r="W43" i="9"/>
  <c r="BC52" i="9"/>
  <c r="BE4" i="9" s="1"/>
  <c r="AM15" i="9"/>
  <c r="AJ16" i="9"/>
  <c r="AD19" i="9"/>
  <c r="AS41" i="9"/>
  <c r="AV40" i="9"/>
  <c r="AV41" i="9"/>
  <c r="AP15" i="9"/>
  <c r="AM16" i="9"/>
  <c r="AP16" i="9"/>
  <c r="U19" i="9"/>
  <c r="AG19" i="9"/>
  <c r="X40" i="9"/>
  <c r="BB40" i="9"/>
  <c r="BB42" i="9" s="1"/>
  <c r="AV15" i="9"/>
  <c r="AV16" i="9"/>
  <c r="AS16" i="9"/>
  <c r="W19" i="9"/>
  <c r="X15" i="9"/>
  <c r="AY15" i="9"/>
  <c r="X19" i="9"/>
  <c r="AJ19" i="9"/>
  <c r="AG40" i="9"/>
  <c r="AD41" i="9"/>
  <c r="AA15" i="9"/>
  <c r="AM40" i="9"/>
  <c r="AJ52" i="8"/>
  <c r="AA53" i="8"/>
  <c r="AA54" i="8"/>
  <c r="AJ54" i="8"/>
  <c r="BC108" i="8"/>
  <c r="BC110" i="8"/>
  <c r="AA52" i="8"/>
  <c r="AP54" i="8"/>
  <c r="BC75" i="8"/>
  <c r="BC91" i="8"/>
  <c r="BC96" i="8"/>
  <c r="AP52" i="8"/>
  <c r="BC98" i="8"/>
  <c r="BC70" i="8"/>
  <c r="BC106" i="6"/>
  <c r="AJ53" i="8"/>
  <c r="AD52" i="8"/>
  <c r="BC73" i="8"/>
  <c r="BC82" i="8"/>
  <c r="X53" i="8"/>
  <c r="U53" i="8"/>
  <c r="AI56" i="8"/>
  <c r="BC88" i="8"/>
  <c r="BC109" i="8"/>
  <c r="BC80" i="8"/>
  <c r="BC106" i="8"/>
  <c r="AP53" i="8"/>
  <c r="U54" i="8"/>
  <c r="BC74" i="8"/>
  <c r="BC76" i="8"/>
  <c r="BC90" i="8"/>
  <c r="BC99" i="8"/>
  <c r="BC72" i="8"/>
  <c r="BC93" i="8"/>
  <c r="BC104" i="8"/>
  <c r="X52" i="8"/>
  <c r="X54" i="8"/>
  <c r="AM54" i="8"/>
  <c r="BC79" i="8"/>
  <c r="BC94" i="8"/>
  <c r="BC105" i="8"/>
  <c r="BC112" i="8"/>
  <c r="BC101" i="8"/>
  <c r="AM52" i="8"/>
  <c r="BC67" i="8"/>
  <c r="BC95" i="8"/>
  <c r="BC111" i="8"/>
  <c r="BC103" i="6"/>
  <c r="BC107" i="6"/>
  <c r="BC72" i="6"/>
  <c r="BC102" i="6"/>
  <c r="BC101" i="6"/>
  <c r="BC100" i="6"/>
  <c r="BC105" i="6"/>
  <c r="AV51" i="6"/>
  <c r="AS50" i="6"/>
  <c r="AU53" i="6"/>
  <c r="U51" i="6"/>
  <c r="AM51" i="6"/>
  <c r="BD3" i="10"/>
  <c r="BC10" i="10"/>
  <c r="BE3" i="10" s="1"/>
  <c r="BB50" i="6"/>
  <c r="AA50" i="6"/>
  <c r="AY51" i="6"/>
  <c r="AX53" i="6"/>
  <c r="X50" i="6"/>
  <c r="AR53" i="6"/>
  <c r="AM50" i="6"/>
  <c r="AM49" i="6"/>
  <c r="U50" i="6"/>
  <c r="AJ51" i="6"/>
  <c r="X51" i="6"/>
  <c r="AS49" i="6"/>
  <c r="AA49" i="6"/>
  <c r="U49" i="6"/>
  <c r="AY50" i="6"/>
  <c r="AJ50" i="6"/>
  <c r="AP50" i="6"/>
  <c r="AY49" i="6"/>
  <c r="AJ49" i="6"/>
  <c r="AG50" i="6"/>
  <c r="AA51" i="6"/>
  <c r="X49" i="6"/>
  <c r="W53" i="6"/>
  <c r="AV50" i="6"/>
  <c r="AD49" i="6"/>
  <c r="AV49" i="6"/>
  <c r="AX40" i="9"/>
  <c r="AX42" i="9" s="1"/>
  <c r="AX31" i="9"/>
  <c r="AX33" i="9" s="1"/>
  <c r="Z40" i="9"/>
  <c r="Z41" i="9"/>
  <c r="AL41" i="9"/>
  <c r="AL40" i="9"/>
  <c r="AR40" i="9"/>
  <c r="AR41" i="9"/>
  <c r="AO40" i="9"/>
  <c r="AO41" i="9"/>
  <c r="AJ40" i="9"/>
  <c r="AA41" i="9"/>
  <c r="AI43" i="9"/>
  <c r="AA40" i="9"/>
  <c r="AY40" i="9"/>
  <c r="BA40" i="9"/>
  <c r="AF41" i="9"/>
  <c r="AF40" i="9"/>
  <c r="AO15" i="9"/>
  <c r="AO16" i="9"/>
  <c r="W16" i="9"/>
  <c r="W15" i="9"/>
  <c r="Z15" i="9"/>
  <c r="Z16" i="9"/>
  <c r="AU16" i="9"/>
  <c r="AU15" i="9"/>
  <c r="AC15" i="9"/>
  <c r="AC16" i="9"/>
  <c r="AX15" i="9"/>
  <c r="BA15" i="9"/>
  <c r="AJ15" i="9"/>
  <c r="AI18" i="9"/>
  <c r="AD16" i="9"/>
  <c r="AF16" i="9"/>
  <c r="AR18" i="9"/>
  <c r="AD15" i="9"/>
  <c r="BB15" i="9"/>
  <c r="AU19" i="9"/>
  <c r="BC50" i="9"/>
  <c r="U40" i="9"/>
  <c r="AS19" i="9"/>
  <c r="BD4" i="9"/>
  <c r="AM53" i="8"/>
  <c r="AD53" i="8"/>
  <c r="T56" i="8"/>
  <c r="AR56" i="8"/>
  <c r="AG52" i="8"/>
  <c r="AD54" i="8"/>
  <c r="AG53" i="8"/>
  <c r="AG54" i="8"/>
  <c r="AP5" i="9"/>
  <c r="AL53" i="6"/>
  <c r="AS51" i="6"/>
  <c r="AG51" i="6"/>
  <c r="AG49" i="6"/>
  <c r="AF53" i="6"/>
  <c r="AD50" i="6"/>
  <c r="BA53" i="6"/>
  <c r="AC53" i="6"/>
  <c r="BB51" i="6"/>
  <c r="AP51" i="6"/>
  <c r="AD51" i="6"/>
  <c r="BB49" i="6"/>
  <c r="AX19" i="9"/>
  <c r="AX23" i="9" s="1"/>
  <c r="AX25" i="9" s="1"/>
  <c r="BA19" i="9"/>
  <c r="BA23" i="9" s="1"/>
  <c r="BA25" i="9" s="1"/>
  <c r="AO19" i="9"/>
  <c r="AL19" i="9"/>
  <c r="AV5" i="9"/>
  <c r="AJ5" i="9"/>
  <c r="AM19" i="9"/>
  <c r="AY19" i="9"/>
  <c r="AY21" i="9" s="1"/>
  <c r="T43" i="9"/>
  <c r="T37" i="9" s="1"/>
  <c r="AP19" i="9"/>
  <c r="BB19" i="9"/>
  <c r="BB21" i="9" s="1"/>
  <c r="AF38" i="9" l="1"/>
  <c r="Z38" i="9"/>
  <c r="AO29" i="9"/>
  <c r="Z29" i="9"/>
  <c r="AR38" i="9"/>
  <c r="T16" i="9"/>
  <c r="AI28" i="9"/>
  <c r="AI27" i="9"/>
  <c r="AO38" i="9"/>
  <c r="AU24" i="9"/>
  <c r="AU23" i="9"/>
  <c r="W37" i="9"/>
  <c r="W5" i="9" s="1"/>
  <c r="W36" i="9"/>
  <c r="AL23" i="9"/>
  <c r="AL24" i="9"/>
  <c r="AI36" i="9"/>
  <c r="AI37" i="9"/>
  <c r="AI5" i="9" s="1"/>
  <c r="T15" i="9"/>
  <c r="T28" i="9"/>
  <c r="T29" i="9" s="1"/>
  <c r="BA38" i="9"/>
  <c r="AL29" i="9"/>
  <c r="AC24" i="9"/>
  <c r="AC23" i="9"/>
  <c r="AC37" i="9"/>
  <c r="AC5" i="9" s="1"/>
  <c r="AC36" i="9"/>
  <c r="AO23" i="9"/>
  <c r="AO24" i="9"/>
  <c r="AR19" i="9"/>
  <c r="AR28" i="9"/>
  <c r="AR27" i="9"/>
  <c r="BA29" i="9"/>
  <c r="AX29" i="9"/>
  <c r="AF24" i="9"/>
  <c r="AF23" i="9"/>
  <c r="AU38" i="9"/>
  <c r="W23" i="9"/>
  <c r="W24" i="9"/>
  <c r="AC29" i="9"/>
  <c r="AU29" i="9"/>
  <c r="Z23" i="9"/>
  <c r="Z2" i="9" s="1"/>
  <c r="Z24" i="9"/>
  <c r="Z3" i="9" s="1"/>
  <c r="AS21" i="9"/>
  <c r="T19" i="9"/>
  <c r="AA21" i="9"/>
  <c r="AO33" i="9"/>
  <c r="AU33" i="9"/>
  <c r="AU21" i="9"/>
  <c r="W32" i="9"/>
  <c r="W31" i="9"/>
  <c r="AF33" i="9"/>
  <c r="AL33" i="9"/>
  <c r="AC31" i="9"/>
  <c r="AC32" i="9"/>
  <c r="AR33" i="9"/>
  <c r="AI31" i="9"/>
  <c r="AI32" i="9"/>
  <c r="Z33" i="9"/>
  <c r="BA21" i="9"/>
  <c r="AX21" i="9"/>
  <c r="X21" i="9"/>
  <c r="AD21" i="9"/>
  <c r="U21" i="9"/>
  <c r="AG21" i="9"/>
  <c r="AJ21" i="9"/>
  <c r="AP21" i="9"/>
  <c r="BD6" i="9"/>
  <c r="AG42" i="9"/>
  <c r="AL20" i="9"/>
  <c r="AL6" i="9" s="1"/>
  <c r="W20" i="9"/>
  <c r="W6" i="9" s="1"/>
  <c r="AC20" i="9"/>
  <c r="AC6" i="9" s="1"/>
  <c r="Z20" i="9"/>
  <c r="AO20" i="9"/>
  <c r="AO6" i="9" s="1"/>
  <c r="AF20" i="9"/>
  <c r="AF6" i="9" s="1"/>
  <c r="U27" i="9"/>
  <c r="U29" i="9" s="1"/>
  <c r="BA2" i="9"/>
  <c r="X42" i="9"/>
  <c r="AU42" i="9"/>
  <c r="AO49" i="6"/>
  <c r="AO51" i="6"/>
  <c r="BB17" i="9"/>
  <c r="AX2" i="9"/>
  <c r="AY17" i="9"/>
  <c r="AA17" i="9"/>
  <c r="X17" i="9"/>
  <c r="AO2" i="9"/>
  <c r="AV2" i="9"/>
  <c r="AF2" i="9"/>
  <c r="AX50" i="6"/>
  <c r="AX51" i="6"/>
  <c r="AX49" i="6"/>
  <c r="AU50" i="6"/>
  <c r="AU49" i="6"/>
  <c r="AU51" i="6"/>
  <c r="AF51" i="6"/>
  <c r="AF50" i="6"/>
  <c r="AF49" i="6"/>
  <c r="AC50" i="6"/>
  <c r="AC49" i="6"/>
  <c r="AC51" i="6"/>
  <c r="BA50" i="6"/>
  <c r="BA49" i="6"/>
  <c r="BA51" i="6"/>
  <c r="W51" i="6"/>
  <c r="W50" i="6"/>
  <c r="W49" i="6"/>
  <c r="AR51" i="6"/>
  <c r="AR49" i="6"/>
  <c r="AR50" i="6"/>
  <c r="AL49" i="6"/>
  <c r="AL51" i="6"/>
  <c r="AL50" i="6"/>
  <c r="AM17" i="9"/>
  <c r="U32" i="9"/>
  <c r="AD42" i="9"/>
  <c r="AP42" i="9"/>
  <c r="AJ17" i="9"/>
  <c r="AG17" i="9"/>
  <c r="AS17" i="9"/>
  <c r="BC36" i="9"/>
  <c r="AO42" i="9"/>
  <c r="AL42" i="9"/>
  <c r="AC40" i="9"/>
  <c r="AM42" i="9"/>
  <c r="AJ42" i="9"/>
  <c r="U38" i="9"/>
  <c r="AV17" i="9"/>
  <c r="U17" i="9"/>
  <c r="AC41" i="9"/>
  <c r="AF42" i="9"/>
  <c r="AS42" i="9"/>
  <c r="AI19" i="9"/>
  <c r="AL17" i="9"/>
  <c r="AY31" i="9"/>
  <c r="AY33" i="9" s="1"/>
  <c r="AS3" i="9"/>
  <c r="AG3" i="9"/>
  <c r="AF17" i="9"/>
  <c r="Z42" i="9"/>
  <c r="AP17" i="9"/>
  <c r="T17" i="9"/>
  <c r="T13" i="9"/>
  <c r="AP3" i="9"/>
  <c r="BG4" i="9"/>
  <c r="E17" i="4" s="1"/>
  <c r="E18" i="4" s="1"/>
  <c r="AA42" i="9"/>
  <c r="AD3" i="9"/>
  <c r="AV42" i="9"/>
  <c r="W41" i="9"/>
  <c r="W40" i="9"/>
  <c r="AA3" i="9"/>
  <c r="X3" i="9"/>
  <c r="AS55" i="8"/>
  <c r="AJ55" i="8"/>
  <c r="BG3" i="10"/>
  <c r="F17" i="4" s="1"/>
  <c r="F18" i="4" s="1"/>
  <c r="AP55" i="8"/>
  <c r="AA55" i="8"/>
  <c r="X55" i="8"/>
  <c r="AM55" i="8"/>
  <c r="BC54" i="8"/>
  <c r="U52" i="6"/>
  <c r="AM52" i="6"/>
  <c r="AS52" i="6"/>
  <c r="AV52" i="6"/>
  <c r="AP2" i="10"/>
  <c r="AA2" i="10"/>
  <c r="Z2" i="10"/>
  <c r="AO2" i="10"/>
  <c r="AI2" i="10"/>
  <c r="U2" i="10"/>
  <c r="AC2" i="10"/>
  <c r="AX2" i="10"/>
  <c r="AF2" i="10"/>
  <c r="BA2" i="10"/>
  <c r="W2" i="10"/>
  <c r="AV2" i="10"/>
  <c r="AS2" i="10"/>
  <c r="AG2" i="10"/>
  <c r="X2" i="10"/>
  <c r="AM2" i="10"/>
  <c r="AU2" i="10"/>
  <c r="AD52" i="6"/>
  <c r="X52" i="6"/>
  <c r="BC51" i="6"/>
  <c r="AA52" i="6"/>
  <c r="AP52" i="6"/>
  <c r="AY52" i="6"/>
  <c r="BC50" i="6"/>
  <c r="BC49" i="6"/>
  <c r="AJ52" i="6"/>
  <c r="BB52" i="6"/>
  <c r="AG52" i="6"/>
  <c r="BA42" i="9"/>
  <c r="AY42" i="9"/>
  <c r="AI41" i="9"/>
  <c r="AI40" i="9"/>
  <c r="AR42" i="9"/>
  <c r="AC17" i="9"/>
  <c r="AY5" i="9"/>
  <c r="AD17" i="9"/>
  <c r="AR15" i="9"/>
  <c r="AR16" i="9"/>
  <c r="BA17" i="9"/>
  <c r="Z17" i="9"/>
  <c r="W17" i="9"/>
  <c r="AX17" i="9"/>
  <c r="AI16" i="9"/>
  <c r="AI15" i="9"/>
  <c r="AU17" i="9"/>
  <c r="AO17" i="9"/>
  <c r="AD5" i="9"/>
  <c r="BB5" i="9"/>
  <c r="AU5" i="9"/>
  <c r="U31" i="9"/>
  <c r="AR5" i="9"/>
  <c r="T5" i="9"/>
  <c r="T36" i="9"/>
  <c r="BC53" i="8"/>
  <c r="BC37" i="9"/>
  <c r="AM5" i="9"/>
  <c r="AD55" i="8"/>
  <c r="AG55" i="8"/>
  <c r="BC52" i="8"/>
  <c r="U55" i="8"/>
  <c r="BC41" i="9"/>
  <c r="AX5" i="9"/>
  <c r="AG5" i="9"/>
  <c r="U42" i="9"/>
  <c r="BB3" i="9"/>
  <c r="AO3" i="9"/>
  <c r="AY3" i="9"/>
  <c r="BC20" i="9"/>
  <c r="BC28" i="9"/>
  <c r="AL5" i="9"/>
  <c r="T31" i="9"/>
  <c r="T41" i="9"/>
  <c r="T40" i="9"/>
  <c r="T32" i="9"/>
  <c r="AA5" i="9"/>
  <c r="BC15" i="9"/>
  <c r="AX3" i="9"/>
  <c r="BC40" i="9"/>
  <c r="AL3" i="9"/>
  <c r="BC19" i="9"/>
  <c r="AO5" i="9"/>
  <c r="U5" i="9"/>
  <c r="AM21" i="9"/>
  <c r="X5" i="9"/>
  <c r="AS5" i="9"/>
  <c r="BA5" i="9"/>
  <c r="BC16" i="9"/>
  <c r="Z5" i="9"/>
  <c r="U3" i="9"/>
  <c r="BA3" i="9"/>
  <c r="W25" i="9" l="1"/>
  <c r="AC38" i="9"/>
  <c r="AU25" i="9"/>
  <c r="AF25" i="9"/>
  <c r="AR29" i="9"/>
  <c r="AL25" i="9"/>
  <c r="AI24" i="9"/>
  <c r="AI23" i="9"/>
  <c r="AI2" i="9" s="1"/>
  <c r="W38" i="9"/>
  <c r="AR24" i="9"/>
  <c r="AR23" i="9"/>
  <c r="T23" i="9"/>
  <c r="T24" i="9"/>
  <c r="AO25" i="9"/>
  <c r="AL2" i="9"/>
  <c r="Z25" i="9"/>
  <c r="AI38" i="9"/>
  <c r="AI29" i="9"/>
  <c r="AC25" i="9"/>
  <c r="T21" i="9"/>
  <c r="W33" i="9"/>
  <c r="AI33" i="9"/>
  <c r="AC33" i="9"/>
  <c r="AU2" i="9"/>
  <c r="BC21" i="9"/>
  <c r="U2" i="9"/>
  <c r="AV3" i="9"/>
  <c r="AC3" i="9"/>
  <c r="AL21" i="9"/>
  <c r="AM2" i="9"/>
  <c r="AF21" i="9"/>
  <c r="W21" i="9"/>
  <c r="AC21" i="9"/>
  <c r="Z6" i="9"/>
  <c r="Z21" i="9"/>
  <c r="AR20" i="9"/>
  <c r="AI20" i="9"/>
  <c r="AI6" i="9" s="1"/>
  <c r="AO21" i="9"/>
  <c r="BF6" i="9"/>
  <c r="BE6" i="9"/>
  <c r="AA2" i="9"/>
  <c r="W3" i="9"/>
  <c r="X2" i="9"/>
  <c r="AC2" i="9"/>
  <c r="AY2" i="9"/>
  <c r="AD2" i="9"/>
  <c r="AJ2" i="9"/>
  <c r="AS2" i="9"/>
  <c r="BB2" i="9"/>
  <c r="AG2" i="9"/>
  <c r="AP2" i="9"/>
  <c r="W2" i="9"/>
  <c r="AC42" i="9"/>
  <c r="AI3" i="9"/>
  <c r="BC27" i="9"/>
  <c r="BC31" i="9"/>
  <c r="U33" i="9"/>
  <c r="AI42" i="9"/>
  <c r="AJ3" i="9"/>
  <c r="AM3" i="9"/>
  <c r="BC32" i="9"/>
  <c r="BF3" i="9" s="1"/>
  <c r="W42" i="9"/>
  <c r="BC55" i="8"/>
  <c r="BC52" i="6"/>
  <c r="BB2" i="10"/>
  <c r="AD2" i="10"/>
  <c r="BE2" i="10"/>
  <c r="AJ2" i="10"/>
  <c r="AY2" i="10"/>
  <c r="AR2" i="10"/>
  <c r="T2" i="10"/>
  <c r="AL2" i="10"/>
  <c r="BF2" i="10"/>
  <c r="AR17" i="9"/>
  <c r="T3" i="9"/>
  <c r="AI17" i="9"/>
  <c r="BC38" i="9"/>
  <c r="AU3" i="9"/>
  <c r="T38" i="9"/>
  <c r="T42" i="9"/>
  <c r="AF3" i="9"/>
  <c r="AR3" i="9"/>
  <c r="BC29" i="9"/>
  <c r="BC42" i="9"/>
  <c r="BE5" i="9"/>
  <c r="BF5" i="9"/>
  <c r="BC17" i="9"/>
  <c r="AF5" i="9"/>
  <c r="BD5" i="9"/>
  <c r="T33" i="9"/>
  <c r="AR25" i="9" l="1"/>
  <c r="AR2" i="9"/>
  <c r="T25" i="9"/>
  <c r="T2" i="9"/>
  <c r="AI25" i="9"/>
  <c r="AI21" i="9"/>
  <c r="AR6" i="9"/>
  <c r="AR21" i="9"/>
  <c r="BG6" i="9"/>
  <c r="D33" i="4" s="1"/>
  <c r="D34" i="4" s="1"/>
  <c r="BE2" i="9"/>
  <c r="BF2" i="9"/>
  <c r="BD3" i="9"/>
  <c r="BD2" i="9"/>
  <c r="BE3" i="9"/>
  <c r="BC33" i="9"/>
  <c r="BD2" i="10"/>
  <c r="BG2" i="10" s="1"/>
  <c r="BG5" i="9"/>
  <c r="BC70" i="6"/>
  <c r="AT62" i="8"/>
  <c r="AU63" i="8" s="1"/>
  <c r="AK62" i="8"/>
  <c r="AL63" i="8" s="1"/>
  <c r="AL48" i="8" s="1"/>
  <c r="S62" i="8"/>
  <c r="T63" i="8" s="1"/>
  <c r="O57" i="8"/>
  <c r="Q57" i="8" s="1"/>
  <c r="BC51" i="8"/>
  <c r="AX50" i="8"/>
  <c r="AO50" i="8"/>
  <c r="AK49" i="8"/>
  <c r="AH49" i="8"/>
  <c r="AI50" i="8" s="1"/>
  <c r="AE49" i="8"/>
  <c r="AF50" i="8" s="1"/>
  <c r="AB49" i="8"/>
  <c r="Y49" i="8"/>
  <c r="Z50" i="8" s="1"/>
  <c r="V49" i="8"/>
  <c r="S49" i="8"/>
  <c r="P45" i="8"/>
  <c r="AL44" i="8"/>
  <c r="S43" i="8"/>
  <c r="T44" i="8" s="1"/>
  <c r="O39" i="8"/>
  <c r="Q39" i="8" s="1"/>
  <c r="S37" i="8"/>
  <c r="T38" i="8" s="1"/>
  <c r="P35" i="8"/>
  <c r="O35" i="8"/>
  <c r="T30" i="8"/>
  <c r="Q25" i="8"/>
  <c r="S23" i="8"/>
  <c r="Q19" i="8"/>
  <c r="BC12" i="8"/>
  <c r="BF5" i="8"/>
  <c r="BE5" i="8"/>
  <c r="BA44" i="1"/>
  <c r="BC60" i="6" s="1"/>
  <c r="BA38" i="1"/>
  <c r="BC47" i="6" s="1"/>
  <c r="BA33" i="1"/>
  <c r="BC41" i="6" s="1"/>
  <c r="BA26" i="1"/>
  <c r="BC35" i="6" s="1"/>
  <c r="BA21" i="1"/>
  <c r="BC29" i="6" s="1"/>
  <c r="BA17" i="1"/>
  <c r="Q37" i="1"/>
  <c r="BB98" i="6"/>
  <c r="AY98" i="6"/>
  <c r="AV98" i="6"/>
  <c r="AS98" i="6"/>
  <c r="AP98" i="6"/>
  <c r="AM98" i="6"/>
  <c r="AJ98" i="6"/>
  <c r="AG98" i="6"/>
  <c r="AD98" i="6"/>
  <c r="AA98" i="6"/>
  <c r="X98" i="6"/>
  <c r="BB96" i="6"/>
  <c r="AY96" i="6"/>
  <c r="AV96" i="6"/>
  <c r="AS96" i="6"/>
  <c r="AP96" i="6"/>
  <c r="AM96" i="6"/>
  <c r="AJ96" i="6"/>
  <c r="AG96" i="6"/>
  <c r="AD96" i="6"/>
  <c r="AA96" i="6"/>
  <c r="X96" i="6"/>
  <c r="BB95" i="6"/>
  <c r="AY95" i="6"/>
  <c r="AV95" i="6"/>
  <c r="AS95" i="6"/>
  <c r="AP95" i="6"/>
  <c r="AD95" i="6"/>
  <c r="AA95" i="6"/>
  <c r="X95" i="6"/>
  <c r="BB94" i="6"/>
  <c r="AY94" i="6"/>
  <c r="AV94" i="6"/>
  <c r="AS94" i="6"/>
  <c r="AP94" i="6"/>
  <c r="AM94" i="6"/>
  <c r="AJ94" i="6"/>
  <c r="AG94" i="6"/>
  <c r="AD94" i="6"/>
  <c r="AA94" i="6"/>
  <c r="X94" i="6"/>
  <c r="BB93" i="6"/>
  <c r="AY93" i="6"/>
  <c r="AV93" i="6"/>
  <c r="AS93" i="6"/>
  <c r="AP93" i="6"/>
  <c r="AM93" i="6"/>
  <c r="AJ93" i="6"/>
  <c r="AG93" i="6"/>
  <c r="AD93" i="6"/>
  <c r="AA93" i="6"/>
  <c r="X93" i="6"/>
  <c r="BB91" i="6"/>
  <c r="AY91" i="6"/>
  <c r="AV91" i="6"/>
  <c r="AS91" i="6"/>
  <c r="AP91" i="6"/>
  <c r="AM91" i="6"/>
  <c r="AJ91" i="6"/>
  <c r="AG91" i="6"/>
  <c r="AD91" i="6"/>
  <c r="AA91" i="6"/>
  <c r="X91" i="6"/>
  <c r="BB90" i="6"/>
  <c r="AY90" i="6"/>
  <c r="AV90" i="6"/>
  <c r="AS90" i="6"/>
  <c r="AP90" i="6"/>
  <c r="AD90" i="6"/>
  <c r="AA90" i="6"/>
  <c r="X90" i="6"/>
  <c r="BB89" i="6"/>
  <c r="AY89" i="6"/>
  <c r="AV89" i="6"/>
  <c r="AS89" i="6"/>
  <c r="AP89" i="6"/>
  <c r="AM89" i="6"/>
  <c r="AJ89" i="6"/>
  <c r="AG89" i="6"/>
  <c r="AD89" i="6"/>
  <c r="AA89" i="6"/>
  <c r="X89" i="6"/>
  <c r="BB86" i="6"/>
  <c r="AY86" i="6"/>
  <c r="AV86" i="6"/>
  <c r="AS86" i="6"/>
  <c r="AP86" i="6"/>
  <c r="AM86" i="6"/>
  <c r="AJ86" i="6"/>
  <c r="AG86" i="6"/>
  <c r="AD86" i="6"/>
  <c r="AA86" i="6"/>
  <c r="X86" i="6"/>
  <c r="BB82" i="6"/>
  <c r="AY82" i="6"/>
  <c r="AV82" i="6"/>
  <c r="AS82" i="6"/>
  <c r="AP82" i="6"/>
  <c r="AM82" i="6"/>
  <c r="AJ82" i="6"/>
  <c r="AG82" i="6"/>
  <c r="AD82" i="6"/>
  <c r="AA82" i="6"/>
  <c r="X82" i="6"/>
  <c r="BB81" i="6"/>
  <c r="AY81" i="6"/>
  <c r="AV81" i="6"/>
  <c r="AS81" i="6"/>
  <c r="AP81" i="6"/>
  <c r="AM81" i="6"/>
  <c r="AJ81" i="6"/>
  <c r="AG81" i="6"/>
  <c r="AD81" i="6"/>
  <c r="AA81" i="6"/>
  <c r="X81" i="6"/>
  <c r="BB80" i="6"/>
  <c r="AY80" i="6"/>
  <c r="AV80" i="6"/>
  <c r="AS80" i="6"/>
  <c r="AP80" i="6"/>
  <c r="AM80" i="6"/>
  <c r="AJ80" i="6"/>
  <c r="AG80" i="6"/>
  <c r="AD80" i="6"/>
  <c r="AA80" i="6"/>
  <c r="X80" i="6"/>
  <c r="AP79" i="6"/>
  <c r="AM79" i="6"/>
  <c r="AJ79" i="6"/>
  <c r="AG79" i="6"/>
  <c r="AD79" i="6"/>
  <c r="AA79" i="6"/>
  <c r="X79" i="6"/>
  <c r="X77" i="6"/>
  <c r="AP74" i="6"/>
  <c r="AM74" i="6"/>
  <c r="AJ74" i="6"/>
  <c r="AG74" i="6"/>
  <c r="AD74" i="6"/>
  <c r="AA74" i="6"/>
  <c r="X74" i="6"/>
  <c r="AV71" i="6"/>
  <c r="AS71" i="6"/>
  <c r="AP71" i="6"/>
  <c r="AM71" i="6"/>
  <c r="AJ71" i="6"/>
  <c r="AG71" i="6"/>
  <c r="AD71" i="6"/>
  <c r="AA71" i="6"/>
  <c r="X71" i="6"/>
  <c r="BB69" i="6"/>
  <c r="AY69" i="6"/>
  <c r="AV69" i="6"/>
  <c r="AS69" i="6"/>
  <c r="AP69" i="6"/>
  <c r="AM69" i="6"/>
  <c r="AJ69" i="6"/>
  <c r="AG69" i="6"/>
  <c r="AD69" i="6"/>
  <c r="AA69" i="6"/>
  <c r="X69" i="6"/>
  <c r="AY67" i="6"/>
  <c r="AV67" i="6"/>
  <c r="AS67" i="6"/>
  <c r="AP67" i="6"/>
  <c r="AM67" i="6"/>
  <c r="AJ67" i="6"/>
  <c r="AG67" i="6"/>
  <c r="AD67" i="6"/>
  <c r="AA67" i="6"/>
  <c r="X67" i="6"/>
  <c r="BB66" i="6"/>
  <c r="AY66" i="6"/>
  <c r="AV66" i="6"/>
  <c r="AS66" i="6"/>
  <c r="AP66" i="6"/>
  <c r="AM66" i="6"/>
  <c r="AJ66" i="6"/>
  <c r="AG66" i="6"/>
  <c r="AD66" i="6"/>
  <c r="AA66" i="6"/>
  <c r="X66" i="6"/>
  <c r="BB88" i="6"/>
  <c r="AY88" i="6"/>
  <c r="AV88" i="6"/>
  <c r="AS88" i="6"/>
  <c r="AP88" i="6"/>
  <c r="AM88" i="6"/>
  <c r="AJ88" i="6"/>
  <c r="AG88" i="6"/>
  <c r="AD88" i="6"/>
  <c r="AA88" i="6"/>
  <c r="X88" i="6"/>
  <c r="BB64" i="6"/>
  <c r="AY64" i="6"/>
  <c r="AV64" i="6"/>
  <c r="AS64" i="6"/>
  <c r="AP64" i="6"/>
  <c r="AM64" i="6"/>
  <c r="AJ64" i="6"/>
  <c r="AG64" i="6"/>
  <c r="AD64" i="6"/>
  <c r="AA64" i="6"/>
  <c r="X64" i="6"/>
  <c r="U98" i="6"/>
  <c r="U96" i="6"/>
  <c r="U95" i="6"/>
  <c r="U94" i="6"/>
  <c r="U93" i="6"/>
  <c r="U91" i="6"/>
  <c r="U90" i="6"/>
  <c r="U89" i="6"/>
  <c r="U86" i="6"/>
  <c r="U82" i="6"/>
  <c r="U81" i="6"/>
  <c r="U80" i="6"/>
  <c r="U79" i="6"/>
  <c r="U77" i="6"/>
  <c r="U74" i="6"/>
  <c r="U104" i="6"/>
  <c r="U71" i="6"/>
  <c r="U69" i="6"/>
  <c r="U67" i="6"/>
  <c r="U66" i="6"/>
  <c r="U88" i="6"/>
  <c r="U64" i="6"/>
  <c r="V59" i="6"/>
  <c r="Y59" i="6"/>
  <c r="AB59" i="6"/>
  <c r="AC60" i="6" s="1"/>
  <c r="AE59" i="6"/>
  <c r="AH59" i="6"/>
  <c r="AK59" i="6"/>
  <c r="AN59" i="6"/>
  <c r="AO60" i="6" s="1"/>
  <c r="AQ59" i="6"/>
  <c r="AR60" i="6" s="1"/>
  <c r="AT59" i="6"/>
  <c r="AU60" i="6" s="1"/>
  <c r="AW59" i="6"/>
  <c r="AZ59" i="6"/>
  <c r="O54" i="6"/>
  <c r="Q54" i="6" s="1"/>
  <c r="V46" i="6"/>
  <c r="Y46" i="6"/>
  <c r="AB46" i="6"/>
  <c r="AE46" i="6"/>
  <c r="AH46" i="6"/>
  <c r="AI47" i="6" s="1"/>
  <c r="AK46" i="6"/>
  <c r="AN46" i="6"/>
  <c r="AO47" i="6" s="1"/>
  <c r="AQ46" i="6"/>
  <c r="AT46" i="6"/>
  <c r="AW46" i="6"/>
  <c r="AX47" i="6" s="1"/>
  <c r="AZ46" i="6"/>
  <c r="V40" i="6"/>
  <c r="W41" i="6" s="1"/>
  <c r="Y40" i="6"/>
  <c r="Z41" i="6" s="1"/>
  <c r="AB40" i="6"/>
  <c r="AE40" i="6"/>
  <c r="AF41" i="6" s="1"/>
  <c r="AH40" i="6"/>
  <c r="AK40" i="6"/>
  <c r="AN40" i="6"/>
  <c r="AQ40" i="6"/>
  <c r="AT40" i="6"/>
  <c r="AU41" i="6" s="1"/>
  <c r="AW40" i="6"/>
  <c r="AX41" i="6" s="1"/>
  <c r="AZ40" i="6"/>
  <c r="O36" i="6"/>
  <c r="Q36" i="6" s="1"/>
  <c r="AA36" i="6" s="1"/>
  <c r="V34" i="6"/>
  <c r="Y34" i="6"/>
  <c r="AB34" i="6"/>
  <c r="AE34" i="6"/>
  <c r="AH34" i="6"/>
  <c r="AK34" i="6"/>
  <c r="AN34" i="6"/>
  <c r="AQ34" i="6"/>
  <c r="AT34" i="6"/>
  <c r="AW34" i="6"/>
  <c r="AZ34" i="6"/>
  <c r="S34" i="6"/>
  <c r="P30" i="6"/>
  <c r="O30" i="6"/>
  <c r="V24" i="6"/>
  <c r="W25" i="6" s="1"/>
  <c r="Y24" i="6"/>
  <c r="Z25" i="6" s="1"/>
  <c r="Z21" i="6" s="1"/>
  <c r="AB24" i="6"/>
  <c r="AC25" i="6" s="1"/>
  <c r="AE24" i="6"/>
  <c r="AH24" i="6"/>
  <c r="AI25" i="6" s="1"/>
  <c r="AK24" i="6"/>
  <c r="AN24" i="6"/>
  <c r="AO25" i="6" s="1"/>
  <c r="AQ24" i="6"/>
  <c r="AR25" i="6" s="1"/>
  <c r="AT24" i="6"/>
  <c r="AU25" i="6" s="1"/>
  <c r="AW24" i="6"/>
  <c r="AX25" i="6" s="1"/>
  <c r="AZ24" i="6"/>
  <c r="BA25" i="6" s="1"/>
  <c r="BA26" i="6" s="1"/>
  <c r="BA28" i="6" s="1"/>
  <c r="S24" i="6"/>
  <c r="T25" i="6" s="1"/>
  <c r="Y28" i="6"/>
  <c r="Z29" i="6" s="1"/>
  <c r="Z27" i="6" s="1"/>
  <c r="AB28" i="6"/>
  <c r="AC29" i="6" s="1"/>
  <c r="AE28" i="6"/>
  <c r="AF29" i="6" s="1"/>
  <c r="AH28" i="6"/>
  <c r="AI29" i="6" s="1"/>
  <c r="AK28" i="6"/>
  <c r="AL29" i="6" s="1"/>
  <c r="AN28" i="6"/>
  <c r="AO29" i="6" s="1"/>
  <c r="AQ28" i="6"/>
  <c r="AR29" i="6" s="1"/>
  <c r="AT28" i="6"/>
  <c r="AU29" i="6" s="1"/>
  <c r="AX29" i="6"/>
  <c r="AX27" i="6" s="1"/>
  <c r="V28" i="6"/>
  <c r="W29" i="6" s="1"/>
  <c r="Q20" i="6"/>
  <c r="S59" i="6"/>
  <c r="T60" i="6" s="1"/>
  <c r="BC48" i="6"/>
  <c r="S46" i="6"/>
  <c r="P42" i="6"/>
  <c r="O42" i="6"/>
  <c r="S40" i="6"/>
  <c r="T41" i="6" s="1"/>
  <c r="S28" i="6"/>
  <c r="T29" i="6" s="1"/>
  <c r="Q26" i="6"/>
  <c r="AU5" i="6"/>
  <c r="W5" i="6"/>
  <c r="BC12" i="6"/>
  <c r="AZ8" i="6"/>
  <c r="AW8" i="6"/>
  <c r="AT8" i="6"/>
  <c r="AQ8" i="6"/>
  <c r="AN8" i="6"/>
  <c r="AK8" i="6"/>
  <c r="AH8" i="6"/>
  <c r="AE8" i="6"/>
  <c r="AB8" i="6"/>
  <c r="Y8" i="6"/>
  <c r="V8" i="6"/>
  <c r="AZ7" i="6"/>
  <c r="AW7" i="6"/>
  <c r="AT7" i="6"/>
  <c r="AQ7" i="6"/>
  <c r="AN7" i="6"/>
  <c r="AK7" i="6"/>
  <c r="AH7" i="6"/>
  <c r="AE7" i="6"/>
  <c r="AB7" i="6"/>
  <c r="Y7" i="6"/>
  <c r="V7" i="6"/>
  <c r="AZ6" i="6"/>
  <c r="AW6" i="6"/>
  <c r="AT6" i="6"/>
  <c r="AQ6" i="6"/>
  <c r="AN6" i="6"/>
  <c r="AK6" i="6"/>
  <c r="AH6" i="6"/>
  <c r="AE6" i="6"/>
  <c r="AB6" i="6"/>
  <c r="Y6" i="6"/>
  <c r="V6" i="6"/>
  <c r="AZ5" i="6"/>
  <c r="AW5" i="6"/>
  <c r="AT5" i="6"/>
  <c r="AQ5" i="6"/>
  <c r="AN5" i="6"/>
  <c r="AK5" i="6"/>
  <c r="AH5" i="6"/>
  <c r="AE5" i="6"/>
  <c r="AB5" i="6"/>
  <c r="Y5" i="6"/>
  <c r="V5" i="6"/>
  <c r="S5" i="6"/>
  <c r="AZ4" i="6"/>
  <c r="AW4" i="6"/>
  <c r="AT4" i="6"/>
  <c r="AQ4" i="6"/>
  <c r="AN4" i="6"/>
  <c r="AK4" i="6"/>
  <c r="AH4" i="6"/>
  <c r="AE4" i="6"/>
  <c r="AB4" i="6"/>
  <c r="Y4" i="6"/>
  <c r="V4" i="6"/>
  <c r="AZ3" i="6"/>
  <c r="AW3" i="6"/>
  <c r="AT3" i="6"/>
  <c r="AQ3" i="6"/>
  <c r="AN3" i="6"/>
  <c r="AK3" i="6"/>
  <c r="AH3" i="6"/>
  <c r="AE3" i="6"/>
  <c r="AB3" i="6"/>
  <c r="Y3" i="6"/>
  <c r="V3" i="6"/>
  <c r="AZ2" i="6"/>
  <c r="AW2" i="6"/>
  <c r="AT2" i="6"/>
  <c r="AQ2" i="6"/>
  <c r="AN2" i="6"/>
  <c r="AK2" i="6"/>
  <c r="AH2" i="6"/>
  <c r="AE2" i="6"/>
  <c r="AB2" i="6"/>
  <c r="Y2" i="6"/>
  <c r="V2" i="6"/>
  <c r="T47" i="6" l="1"/>
  <c r="AU52" i="8"/>
  <c r="AU53" i="8"/>
  <c r="AM22" i="8"/>
  <c r="AP22" i="8"/>
  <c r="AS27" i="8"/>
  <c r="AP27" i="8"/>
  <c r="AM27" i="8"/>
  <c r="AS42" i="8"/>
  <c r="AP42" i="8"/>
  <c r="AM42" i="8"/>
  <c r="AS39" i="8"/>
  <c r="AP39" i="8"/>
  <c r="AS40" i="8"/>
  <c r="AP40" i="8"/>
  <c r="BG3" i="9"/>
  <c r="E7" i="4" s="1"/>
  <c r="E8" i="4" s="1"/>
  <c r="AP9" i="8"/>
  <c r="AP25" i="8"/>
  <c r="AV25" i="8"/>
  <c r="AY9" i="8"/>
  <c r="BB9" i="8"/>
  <c r="AS9" i="8"/>
  <c r="AS25" i="8"/>
  <c r="AV28" i="8"/>
  <c r="AV9" i="8" s="1"/>
  <c r="AP61" i="8"/>
  <c r="AP58" i="8"/>
  <c r="AP60" i="8"/>
  <c r="AS57" i="8"/>
  <c r="AS60" i="8"/>
  <c r="AS58" i="8"/>
  <c r="AS61" i="8"/>
  <c r="AP57" i="8"/>
  <c r="AV39" i="8"/>
  <c r="AV40" i="8"/>
  <c r="AV42" i="8"/>
  <c r="AU45" i="8"/>
  <c r="AU48" i="8"/>
  <c r="AU46" i="8"/>
  <c r="BG2" i="9"/>
  <c r="E4" i="4" s="1"/>
  <c r="X26" i="8"/>
  <c r="AJ26" i="8"/>
  <c r="AG26" i="8"/>
  <c r="AD26" i="8"/>
  <c r="AA26" i="8"/>
  <c r="BB27" i="6"/>
  <c r="AY27" i="6"/>
  <c r="AA60" i="8"/>
  <c r="AJ61" i="8"/>
  <c r="AJ7" i="8" s="1"/>
  <c r="AJ59" i="8"/>
  <c r="AG61" i="8"/>
  <c r="AG7" i="8" s="1"/>
  <c r="AA57" i="8"/>
  <c r="AJ58" i="8"/>
  <c r="X60" i="8"/>
  <c r="AD58" i="8"/>
  <c r="AG60" i="8"/>
  <c r="AA58" i="8"/>
  <c r="AG58" i="8"/>
  <c r="AJ57" i="8"/>
  <c r="AD60" i="8"/>
  <c r="AG57" i="8"/>
  <c r="AA61" i="8"/>
  <c r="AA7" i="8" s="1"/>
  <c r="AD59" i="8"/>
  <c r="AG59" i="8"/>
  <c r="X58" i="8"/>
  <c r="X57" i="8"/>
  <c r="AD57" i="8"/>
  <c r="AA59" i="8"/>
  <c r="AJ60" i="8"/>
  <c r="X61" i="8"/>
  <c r="X7" i="8" s="1"/>
  <c r="X59" i="8"/>
  <c r="AD61" i="8"/>
  <c r="AD7" i="8" s="1"/>
  <c r="AA25" i="8"/>
  <c r="AM25" i="8"/>
  <c r="AD25" i="8"/>
  <c r="AG25" i="8"/>
  <c r="X25" i="8"/>
  <c r="AJ25" i="8"/>
  <c r="BB26" i="6"/>
  <c r="T26" i="8"/>
  <c r="AG39" i="8"/>
  <c r="AD40" i="8"/>
  <c r="AA41" i="8"/>
  <c r="X42" i="8"/>
  <c r="AJ42" i="8"/>
  <c r="X39" i="8"/>
  <c r="AJ39" i="8"/>
  <c r="AG40" i="8"/>
  <c r="AD41" i="8"/>
  <c r="AA42" i="8"/>
  <c r="AJ40" i="8"/>
  <c r="AG42" i="8"/>
  <c r="X40" i="8"/>
  <c r="AJ41" i="8"/>
  <c r="AA39" i="8"/>
  <c r="AG41" i="8"/>
  <c r="AD42" i="8"/>
  <c r="AA40" i="8"/>
  <c r="AD39" i="8"/>
  <c r="X41" i="8"/>
  <c r="AJ19" i="8"/>
  <c r="AJ20" i="8"/>
  <c r="AP19" i="8"/>
  <c r="AG20" i="8"/>
  <c r="X19" i="8"/>
  <c r="AM20" i="8"/>
  <c r="AD22" i="8"/>
  <c r="AG22" i="8"/>
  <c r="AD19" i="8"/>
  <c r="X20" i="8"/>
  <c r="AD21" i="8"/>
  <c r="AD20" i="8"/>
  <c r="AA22" i="8"/>
  <c r="X21" i="8"/>
  <c r="AG19" i="8"/>
  <c r="X22" i="8"/>
  <c r="AJ21" i="8"/>
  <c r="AP20" i="8"/>
  <c r="AG21" i="8"/>
  <c r="AA21" i="8"/>
  <c r="AA19" i="8"/>
  <c r="AA20" i="8"/>
  <c r="AM19" i="8"/>
  <c r="AJ22" i="8"/>
  <c r="AX38" i="6"/>
  <c r="AX36" i="6"/>
  <c r="AX39" i="6"/>
  <c r="AX37" i="6"/>
  <c r="Z39" i="6"/>
  <c r="Z38" i="6"/>
  <c r="Z37" i="6"/>
  <c r="Z36" i="6"/>
  <c r="AI45" i="6"/>
  <c r="AI44" i="6"/>
  <c r="AI43" i="6"/>
  <c r="AI42" i="6"/>
  <c r="T39" i="6"/>
  <c r="T38" i="6"/>
  <c r="T36" i="6"/>
  <c r="T37" i="6"/>
  <c r="AU38" i="6"/>
  <c r="AU36" i="6"/>
  <c r="AU37" i="6"/>
  <c r="AU39" i="6"/>
  <c r="AX45" i="6"/>
  <c r="AX44" i="6"/>
  <c r="AX43" i="6"/>
  <c r="AX42" i="6"/>
  <c r="T45" i="6"/>
  <c r="T44" i="6"/>
  <c r="T42" i="6"/>
  <c r="T43" i="6"/>
  <c r="W38" i="6"/>
  <c r="W36" i="6"/>
  <c r="W37" i="6"/>
  <c r="W39" i="6"/>
  <c r="AF39" i="6"/>
  <c r="AF38" i="6"/>
  <c r="AF36" i="6"/>
  <c r="AF37" i="6"/>
  <c r="AO44" i="6"/>
  <c r="AO42" i="6"/>
  <c r="AO43" i="6"/>
  <c r="AO45" i="6"/>
  <c r="Z47" i="6"/>
  <c r="AA42" i="6"/>
  <c r="BC25" i="6"/>
  <c r="BC18" i="8"/>
  <c r="AR27" i="6"/>
  <c r="AO27" i="6"/>
  <c r="AL27" i="6"/>
  <c r="AS26" i="6"/>
  <c r="AI27" i="6"/>
  <c r="AU27" i="6"/>
  <c r="T27" i="6"/>
  <c r="W27" i="6"/>
  <c r="AF27" i="6"/>
  <c r="AC27" i="6"/>
  <c r="Q35" i="8"/>
  <c r="Q45" i="8"/>
  <c r="AI20" i="6"/>
  <c r="BA22" i="6"/>
  <c r="AC22" i="6"/>
  <c r="AX21" i="6"/>
  <c r="W54" i="8"/>
  <c r="W52" i="8"/>
  <c r="W53" i="8"/>
  <c r="W48" i="8"/>
  <c r="W8" i="8" s="1"/>
  <c r="W47" i="8"/>
  <c r="AU60" i="8"/>
  <c r="AU58" i="8"/>
  <c r="AF53" i="8"/>
  <c r="AF52" i="8"/>
  <c r="AF54" i="8"/>
  <c r="T24" i="8"/>
  <c r="T35" i="8" s="1"/>
  <c r="U19" i="8"/>
  <c r="T52" i="8"/>
  <c r="T54" i="8"/>
  <c r="T53" i="8"/>
  <c r="AR53" i="8"/>
  <c r="AR52" i="8"/>
  <c r="AR54" i="8"/>
  <c r="U25" i="8"/>
  <c r="U21" i="8"/>
  <c r="U22" i="8"/>
  <c r="AL50" i="8"/>
  <c r="AL54" i="8"/>
  <c r="AL52" i="8"/>
  <c r="AL53" i="8"/>
  <c r="AO54" i="8"/>
  <c r="AO7" i="8" s="1"/>
  <c r="AO53" i="8"/>
  <c r="AO52" i="8"/>
  <c r="AR35" i="6"/>
  <c r="AO35" i="6"/>
  <c r="BA35" i="6"/>
  <c r="AC35" i="6"/>
  <c r="AI35" i="6"/>
  <c r="T35" i="6"/>
  <c r="AJ37" i="6"/>
  <c r="AO56" i="6"/>
  <c r="AS57" i="6"/>
  <c r="AC56" i="6"/>
  <c r="AM37" i="6"/>
  <c r="AU54" i="6"/>
  <c r="BD5" i="8"/>
  <c r="BG5" i="8" s="1"/>
  <c r="D17" i="4" s="1"/>
  <c r="D18" i="4" s="1"/>
  <c r="AY38" i="6"/>
  <c r="AM38" i="6"/>
  <c r="AG36" i="6"/>
  <c r="BC96" i="6"/>
  <c r="BA50" i="8"/>
  <c r="AL58" i="8"/>
  <c r="AL57" i="8"/>
  <c r="AL61" i="8"/>
  <c r="AL60" i="8"/>
  <c r="AL8" i="8" s="1"/>
  <c r="AL45" i="8"/>
  <c r="AC50" i="8"/>
  <c r="U61" i="8"/>
  <c r="U7" i="8" s="1"/>
  <c r="AM57" i="8"/>
  <c r="U60" i="8"/>
  <c r="AV58" i="8"/>
  <c r="U59" i="8"/>
  <c r="AV57" i="8"/>
  <c r="U58" i="8"/>
  <c r="AM61" i="8"/>
  <c r="U57" i="8"/>
  <c r="AM60" i="8"/>
  <c r="T61" i="8"/>
  <c r="T60" i="8"/>
  <c r="T59" i="8"/>
  <c r="T48" i="8"/>
  <c r="T58" i="8"/>
  <c r="T47" i="8"/>
  <c r="T57" i="8"/>
  <c r="T46" i="8"/>
  <c r="T45" i="8"/>
  <c r="AF48" i="8"/>
  <c r="AF47" i="8"/>
  <c r="AF46" i="8"/>
  <c r="AF45" i="8"/>
  <c r="AR50" i="8"/>
  <c r="AV60" i="8"/>
  <c r="U42" i="8"/>
  <c r="U41" i="8"/>
  <c r="U40" i="8"/>
  <c r="U39" i="8"/>
  <c r="U20" i="8"/>
  <c r="AL46" i="8"/>
  <c r="AM39" i="8"/>
  <c r="T50" i="8"/>
  <c r="AU50" i="8"/>
  <c r="AM58" i="8"/>
  <c r="AM40" i="8"/>
  <c r="W50" i="8"/>
  <c r="W45" i="8"/>
  <c r="U26" i="8"/>
  <c r="W46" i="8"/>
  <c r="AU57" i="8"/>
  <c r="BC91" i="6"/>
  <c r="BC90" i="6"/>
  <c r="BC69" i="6"/>
  <c r="AR55" i="6"/>
  <c r="AR57" i="6"/>
  <c r="BB39" i="6"/>
  <c r="AJ55" i="6"/>
  <c r="AS39" i="6"/>
  <c r="T57" i="6"/>
  <c r="BB57" i="6"/>
  <c r="AD57" i="6"/>
  <c r="X36" i="6"/>
  <c r="AY55" i="6"/>
  <c r="AA55" i="6"/>
  <c r="AP38" i="6"/>
  <c r="BC89" i="6"/>
  <c r="AX60" i="6"/>
  <c r="AX57" i="6" s="1"/>
  <c r="U54" i="6"/>
  <c r="AV57" i="6"/>
  <c r="X57" i="6"/>
  <c r="AP57" i="6"/>
  <c r="AM55" i="6"/>
  <c r="Q42" i="6"/>
  <c r="AY43" i="6" s="1"/>
  <c r="AV20" i="6"/>
  <c r="AP39" i="6"/>
  <c r="AD38" i="6"/>
  <c r="U58" i="6"/>
  <c r="AS56" i="6"/>
  <c r="AV58" i="6"/>
  <c r="W60" i="6"/>
  <c r="AG39" i="6"/>
  <c r="AA38" i="6"/>
  <c r="AV36" i="6"/>
  <c r="U57" i="6"/>
  <c r="AP56" i="6"/>
  <c r="AS58" i="6"/>
  <c r="AS7" i="6" s="1"/>
  <c r="AY56" i="6"/>
  <c r="X55" i="6"/>
  <c r="AC26" i="6"/>
  <c r="AD39" i="6"/>
  <c r="AY37" i="6"/>
  <c r="AS36" i="6"/>
  <c r="U56" i="6"/>
  <c r="AM54" i="6"/>
  <c r="AJ58" i="6"/>
  <c r="AJ7" i="6" s="1"/>
  <c r="AR56" i="6"/>
  <c r="AV54" i="6"/>
  <c r="AF47" i="6"/>
  <c r="AL60" i="6"/>
  <c r="BA21" i="6"/>
  <c r="BB38" i="6"/>
  <c r="AV37" i="6"/>
  <c r="AJ36" i="6"/>
  <c r="U55" i="6"/>
  <c r="AJ54" i="6"/>
  <c r="X58" i="6"/>
  <c r="X7" i="6" s="1"/>
  <c r="AM56" i="6"/>
  <c r="AS54" i="6"/>
  <c r="AG57" i="6"/>
  <c r="AA56" i="6"/>
  <c r="X54" i="6"/>
  <c r="BB56" i="6"/>
  <c r="AD56" i="6"/>
  <c r="AV55" i="6"/>
  <c r="AG58" i="6"/>
  <c r="AG7" i="6" s="1"/>
  <c r="AG54" i="6"/>
  <c r="AR58" i="6"/>
  <c r="AO57" i="6"/>
  <c r="AC57" i="6"/>
  <c r="AU55" i="6"/>
  <c r="AR54" i="6"/>
  <c r="BB58" i="6"/>
  <c r="BB7" i="6" s="1"/>
  <c r="AP58" i="6"/>
  <c r="AP7" i="6" s="1"/>
  <c r="AD58" i="6"/>
  <c r="AD7" i="6" s="1"/>
  <c r="AY57" i="6"/>
  <c r="AM57" i="6"/>
  <c r="AA57" i="6"/>
  <c r="AV56" i="6"/>
  <c r="AJ56" i="6"/>
  <c r="X56" i="6"/>
  <c r="AS55" i="6"/>
  <c r="AG55" i="6"/>
  <c r="BB54" i="6"/>
  <c r="AP54" i="6"/>
  <c r="AD54" i="6"/>
  <c r="AO58" i="6"/>
  <c r="AC58" i="6"/>
  <c r="AU56" i="6"/>
  <c r="AO54" i="6"/>
  <c r="AC54" i="6"/>
  <c r="Z60" i="6"/>
  <c r="BA60" i="6"/>
  <c r="AY58" i="6"/>
  <c r="AY7" i="6" s="1"/>
  <c r="AM58" i="6"/>
  <c r="AA58" i="6"/>
  <c r="AA7" i="6" s="1"/>
  <c r="AJ57" i="6"/>
  <c r="AG56" i="6"/>
  <c r="BB55" i="6"/>
  <c r="AP55" i="6"/>
  <c r="AD55" i="6"/>
  <c r="AY54" i="6"/>
  <c r="AA54" i="6"/>
  <c r="AU57" i="6"/>
  <c r="AO55" i="6"/>
  <c r="AC55" i="6"/>
  <c r="AF60" i="6"/>
  <c r="AU58" i="6"/>
  <c r="AL47" i="6"/>
  <c r="AU20" i="6"/>
  <c r="W20" i="6"/>
  <c r="AG27" i="6"/>
  <c r="AS20" i="6"/>
  <c r="AP26" i="6"/>
  <c r="AJ21" i="6"/>
  <c r="AY39" i="6"/>
  <c r="AM39" i="6"/>
  <c r="AA39" i="6"/>
  <c r="AV38" i="6"/>
  <c r="AJ38" i="6"/>
  <c r="X38" i="6"/>
  <c r="AS37" i="6"/>
  <c r="AG37" i="6"/>
  <c r="BB36" i="6"/>
  <c r="AP36" i="6"/>
  <c r="AD36" i="6"/>
  <c r="AG23" i="6"/>
  <c r="BC86" i="6"/>
  <c r="BC98" i="6"/>
  <c r="AV39" i="6"/>
  <c r="AJ39" i="6"/>
  <c r="X39" i="6"/>
  <c r="AS38" i="6"/>
  <c r="AG38" i="6"/>
  <c r="BB37" i="6"/>
  <c r="AP37" i="6"/>
  <c r="AY36" i="6"/>
  <c r="AM36" i="6"/>
  <c r="AY21" i="6"/>
  <c r="AI23" i="6"/>
  <c r="T58" i="6"/>
  <c r="AO22" i="6"/>
  <c r="X27" i="6"/>
  <c r="AD27" i="6"/>
  <c r="AM26" i="6"/>
  <c r="BB21" i="6"/>
  <c r="AD23" i="6"/>
  <c r="AJ20" i="6"/>
  <c r="X26" i="6"/>
  <c r="AV27" i="6"/>
  <c r="AA27" i="6"/>
  <c r="AJ26" i="6"/>
  <c r="AY20" i="6"/>
  <c r="AA20" i="6"/>
  <c r="AA23" i="6"/>
  <c r="AV21" i="6"/>
  <c r="AG20" i="6"/>
  <c r="W26" i="6"/>
  <c r="AG26" i="6"/>
  <c r="AV23" i="6"/>
  <c r="X23" i="6"/>
  <c r="BB22" i="6"/>
  <c r="X20" i="6"/>
  <c r="AS27" i="6"/>
  <c r="AD26" i="6"/>
  <c r="BB23" i="6"/>
  <c r="AY22" i="6"/>
  <c r="AC21" i="6"/>
  <c r="Q30" i="6"/>
  <c r="AJ30" i="6" s="1"/>
  <c r="BC88" i="6"/>
  <c r="AP27" i="6"/>
  <c r="AY26" i="6"/>
  <c r="AP21" i="6"/>
  <c r="AY23" i="6"/>
  <c r="AP22" i="6"/>
  <c r="BC71" i="6"/>
  <c r="AM27" i="6"/>
  <c r="AV26" i="6"/>
  <c r="AA26" i="6"/>
  <c r="AM21" i="6"/>
  <c r="AS23" i="6"/>
  <c r="AD22" i="6"/>
  <c r="AJ27" i="6"/>
  <c r="U20" i="6"/>
  <c r="AJ23" i="6"/>
  <c r="AP23" i="6"/>
  <c r="AA22" i="6"/>
  <c r="AL35" i="6"/>
  <c r="AR23" i="6"/>
  <c r="AR22" i="6"/>
  <c r="AR26" i="6"/>
  <c r="AR21" i="6"/>
  <c r="AR20" i="6"/>
  <c r="AX26" i="6"/>
  <c r="Z26" i="6"/>
  <c r="Z28" i="6" s="1"/>
  <c r="AL25" i="6"/>
  <c r="BA23" i="6"/>
  <c r="AO23" i="6"/>
  <c r="AC23" i="6"/>
  <c r="AX22" i="6"/>
  <c r="Z22" i="6"/>
  <c r="AU21" i="6"/>
  <c r="AI21" i="6"/>
  <c r="W21" i="6"/>
  <c r="AM22" i="6"/>
  <c r="AM23" i="6"/>
  <c r="AV22" i="6"/>
  <c r="AJ22" i="6"/>
  <c r="X22" i="6"/>
  <c r="AS21" i="6"/>
  <c r="AG21" i="6"/>
  <c r="BB20" i="6"/>
  <c r="AP20" i="6"/>
  <c r="AD20" i="6"/>
  <c r="AU26" i="6"/>
  <c r="AI26" i="6"/>
  <c r="AF25" i="6"/>
  <c r="AX23" i="6"/>
  <c r="Z23" i="6"/>
  <c r="AU22" i="6"/>
  <c r="AI22" i="6"/>
  <c r="W22" i="6"/>
  <c r="BA20" i="6"/>
  <c r="AO20" i="6"/>
  <c r="AC20" i="6"/>
  <c r="AS22" i="6"/>
  <c r="AG22" i="6"/>
  <c r="AM20" i="6"/>
  <c r="AU23" i="6"/>
  <c r="W23" i="6"/>
  <c r="AO21" i="6"/>
  <c r="AX20" i="6"/>
  <c r="Z20" i="6"/>
  <c r="AO26" i="6"/>
  <c r="T21" i="6"/>
  <c r="T20" i="6"/>
  <c r="T23" i="6"/>
  <c r="T22" i="6"/>
  <c r="U22" i="6"/>
  <c r="U23" i="6"/>
  <c r="T55" i="6"/>
  <c r="BC66" i="6"/>
  <c r="AC41" i="6"/>
  <c r="BC64" i="6"/>
  <c r="AI41" i="6"/>
  <c r="BC74" i="6"/>
  <c r="BC79" i="6"/>
  <c r="BC80" i="6"/>
  <c r="BC81" i="6"/>
  <c r="BC82" i="6"/>
  <c r="BC94" i="6"/>
  <c r="AG5" i="6"/>
  <c r="BA41" i="6"/>
  <c r="BC67" i="6"/>
  <c r="BC78" i="6"/>
  <c r="BC95" i="6"/>
  <c r="T5" i="6"/>
  <c r="T26" i="6"/>
  <c r="AF35" i="6"/>
  <c r="AX5" i="6"/>
  <c r="AC47" i="6"/>
  <c r="AI60" i="6"/>
  <c r="U26" i="6"/>
  <c r="AL41" i="6"/>
  <c r="AM5" i="6"/>
  <c r="BC77" i="6"/>
  <c r="U27" i="6"/>
  <c r="AU35" i="6"/>
  <c r="AU47" i="6"/>
  <c r="AC5" i="6"/>
  <c r="AX35" i="6"/>
  <c r="AS5" i="6"/>
  <c r="AR41" i="6"/>
  <c r="BA47" i="6"/>
  <c r="Z35" i="6"/>
  <c r="AI5" i="6"/>
  <c r="AO5" i="6"/>
  <c r="W35" i="6"/>
  <c r="BB5" i="6"/>
  <c r="AY5" i="6"/>
  <c r="AV5" i="6"/>
  <c r="W47" i="6"/>
  <c r="BC93" i="6"/>
  <c r="BA5" i="6"/>
  <c r="AR5" i="6"/>
  <c r="BC104" i="6"/>
  <c r="U36" i="6"/>
  <c r="X5" i="6"/>
  <c r="T56" i="6"/>
  <c r="AA5" i="6"/>
  <c r="AO41" i="6"/>
  <c r="AR47" i="6"/>
  <c r="T54" i="6"/>
  <c r="AD5" i="6"/>
  <c r="AP5" i="6"/>
  <c r="U38" i="6"/>
  <c r="AU55" i="8" l="1"/>
  <c r="U42" i="6"/>
  <c r="AM7" i="8"/>
  <c r="AM23" i="8"/>
  <c r="AS7" i="8"/>
  <c r="BC27" i="8"/>
  <c r="AD29" i="8"/>
  <c r="AM43" i="8"/>
  <c r="AP43" i="8"/>
  <c r="AS43" i="8"/>
  <c r="AM29" i="8"/>
  <c r="AR28" i="6"/>
  <c r="AV29" i="8"/>
  <c r="AA29" i="8"/>
  <c r="AS29" i="8"/>
  <c r="AV43" i="8"/>
  <c r="AS62" i="8"/>
  <c r="AP48" i="8"/>
  <c r="AP8" i="8" s="1"/>
  <c r="AS46" i="8"/>
  <c r="AP46" i="8"/>
  <c r="BB46" i="8"/>
  <c r="AS48" i="8"/>
  <c r="AS45" i="8"/>
  <c r="AP45" i="8"/>
  <c r="AV45" i="8"/>
  <c r="BB45" i="8"/>
  <c r="AV46" i="8"/>
  <c r="AY48" i="8"/>
  <c r="AY8" i="8" s="1"/>
  <c r="BB48" i="8"/>
  <c r="BB8" i="8" s="1"/>
  <c r="AY45" i="8"/>
  <c r="AV48" i="8"/>
  <c r="AY46" i="8"/>
  <c r="AP29" i="8"/>
  <c r="AA36" i="8"/>
  <c r="AA6" i="8" s="1"/>
  <c r="AY6" i="8"/>
  <c r="AJ36" i="8"/>
  <c r="AJ6" i="8" s="1"/>
  <c r="BB6" i="8"/>
  <c r="AA35" i="8"/>
  <c r="AD36" i="8"/>
  <c r="AD6" i="8" s="1"/>
  <c r="AP36" i="8"/>
  <c r="AP6" i="8" s="1"/>
  <c r="AJ35" i="8"/>
  <c r="AD35" i="8"/>
  <c r="AG35" i="8"/>
  <c r="X36" i="8"/>
  <c r="AP35" i="8"/>
  <c r="X35" i="8"/>
  <c r="AG36" i="8"/>
  <c r="AM35" i="8"/>
  <c r="AM36" i="8"/>
  <c r="AM6" i="8" s="1"/>
  <c r="AP62" i="8"/>
  <c r="BC28" i="8"/>
  <c r="AM9" i="8"/>
  <c r="BD9" i="8" s="1"/>
  <c r="AU49" i="8"/>
  <c r="X29" i="8"/>
  <c r="AJ29" i="8"/>
  <c r="AY28" i="6"/>
  <c r="X62" i="8"/>
  <c r="AJ62" i="8"/>
  <c r="AD62" i="8"/>
  <c r="AA62" i="8"/>
  <c r="U29" i="8"/>
  <c r="AG29" i="8"/>
  <c r="AG62" i="8"/>
  <c r="AX28" i="6"/>
  <c r="AI28" i="6"/>
  <c r="BB28" i="6"/>
  <c r="U35" i="8"/>
  <c r="AS23" i="8"/>
  <c r="AD43" i="8"/>
  <c r="AJ43" i="8"/>
  <c r="AA46" i="8"/>
  <c r="AL7" i="8"/>
  <c r="AD23" i="8"/>
  <c r="AP23" i="8"/>
  <c r="X23" i="8"/>
  <c r="X43" i="8"/>
  <c r="AA23" i="8"/>
  <c r="AG43" i="8"/>
  <c r="AV6" i="8"/>
  <c r="X6" i="8"/>
  <c r="AG23" i="8"/>
  <c r="AJ23" i="8"/>
  <c r="AP7" i="8"/>
  <c r="AA43" i="8"/>
  <c r="AL39" i="6"/>
  <c r="AL38" i="6"/>
  <c r="AL37" i="6"/>
  <c r="AL36" i="6"/>
  <c r="AR33" i="6"/>
  <c r="AR31" i="6"/>
  <c r="AR30" i="6"/>
  <c r="AX30" i="6"/>
  <c r="AX33" i="6"/>
  <c r="AX6" i="6" s="1"/>
  <c r="AX31" i="6"/>
  <c r="AF45" i="6"/>
  <c r="AF44" i="6"/>
  <c r="AF42" i="6"/>
  <c r="AF43" i="6"/>
  <c r="AR39" i="6"/>
  <c r="AR38" i="6"/>
  <c r="AR36" i="6"/>
  <c r="AR37" i="6"/>
  <c r="W30" i="6"/>
  <c r="W33" i="6"/>
  <c r="W6" i="6" s="1"/>
  <c r="W32" i="6"/>
  <c r="AU44" i="6"/>
  <c r="AU4" i="6" s="1"/>
  <c r="AU42" i="6"/>
  <c r="AU43" i="6"/>
  <c r="AU45" i="6"/>
  <c r="AU8" i="6" s="1"/>
  <c r="AC44" i="6"/>
  <c r="AC42" i="6"/>
  <c r="AC43" i="6"/>
  <c r="AC45" i="6"/>
  <c r="AC8" i="6" s="1"/>
  <c r="BA39" i="6"/>
  <c r="BA37" i="6"/>
  <c r="BA36" i="6"/>
  <c r="BA38" i="6"/>
  <c r="AI38" i="6"/>
  <c r="AI36" i="6"/>
  <c r="AI37" i="6"/>
  <c r="AI39" i="6"/>
  <c r="T33" i="6"/>
  <c r="T6" i="6" s="1"/>
  <c r="T32" i="6"/>
  <c r="T4" i="6" s="1"/>
  <c r="T30" i="6"/>
  <c r="T2" i="6" s="1"/>
  <c r="AL31" i="6"/>
  <c r="AL33" i="6"/>
  <c r="AL30" i="6"/>
  <c r="AI31" i="6"/>
  <c r="AI33" i="6"/>
  <c r="AI30" i="6"/>
  <c r="AU31" i="6"/>
  <c r="AU33" i="6"/>
  <c r="AU6" i="6" s="1"/>
  <c r="AU30" i="6"/>
  <c r="AC38" i="6"/>
  <c r="AC4" i="6" s="1"/>
  <c r="AC37" i="6"/>
  <c r="AC36" i="6"/>
  <c r="AC39" i="6"/>
  <c r="AC33" i="6"/>
  <c r="AC31" i="6"/>
  <c r="AC30" i="6"/>
  <c r="AO31" i="6"/>
  <c r="AO30" i="6"/>
  <c r="AO33" i="6"/>
  <c r="AR45" i="6"/>
  <c r="AR8" i="6" s="1"/>
  <c r="AR44" i="6"/>
  <c r="AR42" i="6"/>
  <c r="AR43" i="6"/>
  <c r="AO38" i="6"/>
  <c r="AO4" i="6" s="1"/>
  <c r="AO37" i="6"/>
  <c r="AO36" i="6"/>
  <c r="AO39" i="6"/>
  <c r="Z30" i="6"/>
  <c r="Z33" i="6"/>
  <c r="Z31" i="6"/>
  <c r="AF33" i="6"/>
  <c r="AF30" i="6"/>
  <c r="AF31" i="6"/>
  <c r="W44" i="6"/>
  <c r="W43" i="6"/>
  <c r="W42" i="6"/>
  <c r="W45" i="6"/>
  <c r="BA45" i="6"/>
  <c r="BA43" i="6"/>
  <c r="BA42" i="6"/>
  <c r="BA44" i="6"/>
  <c r="AL45" i="6"/>
  <c r="AL44" i="6"/>
  <c r="AL43" i="6"/>
  <c r="AL42" i="6"/>
  <c r="BA58" i="6"/>
  <c r="BA54" i="6"/>
  <c r="BA33" i="6"/>
  <c r="BA31" i="6"/>
  <c r="BA30" i="6"/>
  <c r="Z45" i="6"/>
  <c r="Z44" i="6"/>
  <c r="Z43" i="6"/>
  <c r="Z42" i="6"/>
  <c r="AM45" i="6"/>
  <c r="AM8" i="6" s="1"/>
  <c r="AU8" i="8"/>
  <c r="AR3" i="8"/>
  <c r="AO6" i="8"/>
  <c r="W2" i="8"/>
  <c r="T8" i="8"/>
  <c r="AF7" i="8"/>
  <c r="T40" i="8"/>
  <c r="AD47" i="8"/>
  <c r="AD4" i="8" s="1"/>
  <c r="T25" i="8"/>
  <c r="T29" i="8" s="1"/>
  <c r="T39" i="8"/>
  <c r="AR2" i="8"/>
  <c r="AU2" i="8"/>
  <c r="T41" i="8"/>
  <c r="U47" i="8"/>
  <c r="U4" i="8" s="1"/>
  <c r="AR7" i="8"/>
  <c r="W7" i="8"/>
  <c r="AO2" i="8"/>
  <c r="AR6" i="8"/>
  <c r="T36" i="8"/>
  <c r="T37" i="8" s="1"/>
  <c r="AJ45" i="8"/>
  <c r="AR8" i="8"/>
  <c r="T20" i="8"/>
  <c r="AF8" i="8"/>
  <c r="AU3" i="8"/>
  <c r="AO8" i="8"/>
  <c r="T42" i="8"/>
  <c r="AO3" i="8"/>
  <c r="T7" i="8"/>
  <c r="AU6" i="8"/>
  <c r="AO28" i="6"/>
  <c r="W3" i="8"/>
  <c r="W4" i="8"/>
  <c r="W6" i="8"/>
  <c r="AL39" i="8"/>
  <c r="U36" i="8"/>
  <c r="U6" i="8" s="1"/>
  <c r="AU62" i="8"/>
  <c r="W28" i="6"/>
  <c r="AO7" i="6"/>
  <c r="AU28" i="6"/>
  <c r="T28" i="6"/>
  <c r="T7" i="6"/>
  <c r="AA40" i="6"/>
  <c r="AS28" i="6"/>
  <c r="AC28" i="6"/>
  <c r="BC14" i="6"/>
  <c r="BC15" i="6"/>
  <c r="U43" i="6"/>
  <c r="U3" i="6" s="1"/>
  <c r="U46" i="8"/>
  <c r="U3" i="8" s="1"/>
  <c r="AG47" i="8"/>
  <c r="AG4" i="8" s="1"/>
  <c r="AD46" i="8"/>
  <c r="AM48" i="8"/>
  <c r="AM8" i="8" s="1"/>
  <c r="AJ47" i="8"/>
  <c r="AJ4" i="8" s="1"/>
  <c r="AM46" i="8"/>
  <c r="AA47" i="8"/>
  <c r="AA4" i="8" s="1"/>
  <c r="AD48" i="8"/>
  <c r="AD8" i="8" s="1"/>
  <c r="X46" i="8"/>
  <c r="X45" i="8"/>
  <c r="X48" i="8"/>
  <c r="X8" i="8" s="1"/>
  <c r="AJ46" i="8"/>
  <c r="AD45" i="8"/>
  <c r="AG45" i="8"/>
  <c r="AJ48" i="8"/>
  <c r="AJ8" i="8" s="1"/>
  <c r="X47" i="8"/>
  <c r="X4" i="8" s="1"/>
  <c r="AM45" i="8"/>
  <c r="AA48" i="8"/>
  <c r="AA45" i="8"/>
  <c r="AG48" i="8"/>
  <c r="AG8" i="8" s="1"/>
  <c r="AV8" i="8"/>
  <c r="AG46" i="8"/>
  <c r="U48" i="8"/>
  <c r="U8" i="8" s="1"/>
  <c r="U45" i="8"/>
  <c r="AR55" i="8"/>
  <c r="AF55" i="8"/>
  <c r="AU7" i="6"/>
  <c r="T55" i="8"/>
  <c r="AL40" i="8"/>
  <c r="W55" i="8"/>
  <c r="AJ31" i="6"/>
  <c r="AS31" i="6"/>
  <c r="U45" i="6"/>
  <c r="U8" i="6" s="1"/>
  <c r="AD45" i="6"/>
  <c r="AD8" i="6" s="1"/>
  <c r="AS45" i="6"/>
  <c r="AS8" i="6" s="1"/>
  <c r="AG31" i="6"/>
  <c r="BB43" i="6"/>
  <c r="AX58" i="6"/>
  <c r="BB31" i="6"/>
  <c r="AM31" i="6"/>
  <c r="T3" i="6"/>
  <c r="X42" i="6"/>
  <c r="AP42" i="6"/>
  <c r="AP31" i="6"/>
  <c r="AV44" i="6"/>
  <c r="AV4" i="6" s="1"/>
  <c r="AP45" i="6"/>
  <c r="AV31" i="6"/>
  <c r="AY31" i="6"/>
  <c r="AY3" i="6" s="1"/>
  <c r="AX6" i="8"/>
  <c r="BA6" i="8"/>
  <c r="Z54" i="8"/>
  <c r="Z52" i="8"/>
  <c r="Z53" i="8"/>
  <c r="Z6" i="8" s="1"/>
  <c r="AO55" i="8"/>
  <c r="AI52" i="8"/>
  <c r="AI53" i="8"/>
  <c r="AI6" i="8" s="1"/>
  <c r="AI54" i="8"/>
  <c r="T21" i="8"/>
  <c r="T22" i="8"/>
  <c r="T19" i="8"/>
  <c r="AC53" i="8"/>
  <c r="AC6" i="8" s="1"/>
  <c r="AC54" i="8"/>
  <c r="AC52" i="8"/>
  <c r="AL55" i="8"/>
  <c r="AR7" i="6"/>
  <c r="AC52" i="6"/>
  <c r="AG44" i="6"/>
  <c r="BB42" i="6"/>
  <c r="AY45" i="6"/>
  <c r="AY8" i="6" s="1"/>
  <c r="AC7" i="6"/>
  <c r="AM43" i="6"/>
  <c r="AP44" i="6"/>
  <c r="AV42" i="6"/>
  <c r="AR52" i="6"/>
  <c r="T8" i="6"/>
  <c r="X45" i="6"/>
  <c r="AS43" i="6"/>
  <c r="W58" i="6"/>
  <c r="AJ42" i="6"/>
  <c r="AU52" i="6"/>
  <c r="AM44" i="6"/>
  <c r="AS44" i="6"/>
  <c r="AG43" i="6"/>
  <c r="AM42" i="6"/>
  <c r="AJ45" i="6"/>
  <c r="AJ8" i="6" s="1"/>
  <c r="X44" i="6"/>
  <c r="T52" i="6"/>
  <c r="AY42" i="6"/>
  <c r="AV45" i="6"/>
  <c r="AV8" i="6" s="1"/>
  <c r="AJ44" i="6"/>
  <c r="AJ4" i="6" s="1"/>
  <c r="BB45" i="6"/>
  <c r="BB8" i="6" s="1"/>
  <c r="AX55" i="6"/>
  <c r="AO52" i="6"/>
  <c r="W54" i="6"/>
  <c r="AL55" i="6"/>
  <c r="U44" i="6"/>
  <c r="AP43" i="6"/>
  <c r="AD42" i="6"/>
  <c r="AA45" i="6"/>
  <c r="AA8" i="6" s="1"/>
  <c r="AG42" i="6"/>
  <c r="AS42" i="6"/>
  <c r="W49" i="8"/>
  <c r="AG40" i="6"/>
  <c r="AP30" i="6"/>
  <c r="AM33" i="6"/>
  <c r="AM6" i="6" s="1"/>
  <c r="X33" i="6"/>
  <c r="AO8" i="6"/>
  <c r="BB30" i="6"/>
  <c r="AS30" i="6"/>
  <c r="AG33" i="6"/>
  <c r="AS33" i="6"/>
  <c r="AS6" i="6" s="1"/>
  <c r="AM59" i="6"/>
  <c r="AD24" i="6"/>
  <c r="AJ40" i="6"/>
  <c r="AP40" i="6"/>
  <c r="AC45" i="8"/>
  <c r="AC48" i="8"/>
  <c r="AC47" i="8"/>
  <c r="AC46" i="8"/>
  <c r="BC20" i="8"/>
  <c r="BC42" i="8"/>
  <c r="AF49" i="8"/>
  <c r="BC57" i="8"/>
  <c r="U62" i="8"/>
  <c r="BC40" i="8"/>
  <c r="T49" i="8"/>
  <c r="BC61" i="8"/>
  <c r="BC22" i="8"/>
  <c r="BC26" i="8"/>
  <c r="Z47" i="8"/>
  <c r="Z45" i="8"/>
  <c r="Z48" i="8"/>
  <c r="Z8" i="8" s="1"/>
  <c r="Z46" i="8"/>
  <c r="Z3" i="8" s="1"/>
  <c r="BC41" i="8"/>
  <c r="AL62" i="8"/>
  <c r="BC21" i="8"/>
  <c r="AX3" i="8"/>
  <c r="AI46" i="8"/>
  <c r="AI3" i="8" s="1"/>
  <c r="AI45" i="8"/>
  <c r="AI48" i="8"/>
  <c r="AI47" i="8"/>
  <c r="U43" i="8"/>
  <c r="BC39" i="8"/>
  <c r="T62" i="8"/>
  <c r="AV62" i="8"/>
  <c r="BC60" i="8"/>
  <c r="BA3" i="8"/>
  <c r="BC59" i="8"/>
  <c r="BC58" i="8"/>
  <c r="BC25" i="8"/>
  <c r="AM62" i="8"/>
  <c r="U23" i="8"/>
  <c r="BC19" i="8"/>
  <c r="AL49" i="8"/>
  <c r="W57" i="6"/>
  <c r="AM7" i="6"/>
  <c r="AS40" i="6"/>
  <c r="W56" i="6"/>
  <c r="AL57" i="6"/>
  <c r="AY59" i="6"/>
  <c r="AJ59" i="6"/>
  <c r="AR59" i="6"/>
  <c r="AV59" i="6"/>
  <c r="W55" i="6"/>
  <c r="AV43" i="6"/>
  <c r="AD40" i="6"/>
  <c r="AL54" i="6"/>
  <c r="AA30" i="6"/>
  <c r="AG45" i="6"/>
  <c r="AG8" i="6" s="1"/>
  <c r="AJ43" i="6"/>
  <c r="AM30" i="6"/>
  <c r="AP33" i="6"/>
  <c r="AP6" i="6" s="1"/>
  <c r="AU59" i="6"/>
  <c r="BC57" i="6"/>
  <c r="AL56" i="6"/>
  <c r="AY44" i="6"/>
  <c r="X43" i="6"/>
  <c r="X3" i="6" s="1"/>
  <c r="AA44" i="6"/>
  <c r="AD44" i="6"/>
  <c r="AG28" i="6"/>
  <c r="AL58" i="6"/>
  <c r="AX56" i="6"/>
  <c r="BB44" i="6"/>
  <c r="Z40" i="6"/>
  <c r="AS59" i="6"/>
  <c r="U24" i="6"/>
  <c r="AX40" i="6"/>
  <c r="X40" i="6"/>
  <c r="AX54" i="6"/>
  <c r="AX8" i="6"/>
  <c r="X59" i="6"/>
  <c r="AC59" i="6"/>
  <c r="AD59" i="6"/>
  <c r="AO59" i="6"/>
  <c r="AP59" i="6"/>
  <c r="AI54" i="6"/>
  <c r="AI58" i="6"/>
  <c r="AI57" i="6"/>
  <c r="AI56" i="6"/>
  <c r="AI55" i="6"/>
  <c r="BB59" i="6"/>
  <c r="AF57" i="6"/>
  <c r="AF56" i="6"/>
  <c r="AF55" i="6"/>
  <c r="AF54" i="6"/>
  <c r="AF58" i="6"/>
  <c r="AA59" i="6"/>
  <c r="Z55" i="6"/>
  <c r="Z54" i="6"/>
  <c r="Z58" i="6"/>
  <c r="Z57" i="6"/>
  <c r="Z56" i="6"/>
  <c r="BA56" i="6"/>
  <c r="BA55" i="6"/>
  <c r="BA57" i="6"/>
  <c r="AG59" i="6"/>
  <c r="AV7" i="6"/>
  <c r="AO46" i="6"/>
  <c r="AM40" i="6"/>
  <c r="BB40" i="6"/>
  <c r="AV24" i="6"/>
  <c r="AP28" i="6"/>
  <c r="AY40" i="6"/>
  <c r="AV40" i="6"/>
  <c r="AU40" i="6"/>
  <c r="AI24" i="6"/>
  <c r="W40" i="6"/>
  <c r="AD28" i="6"/>
  <c r="AX24" i="6"/>
  <c r="BA24" i="6"/>
  <c r="AJ24" i="6"/>
  <c r="AV28" i="6"/>
  <c r="AY24" i="6"/>
  <c r="W24" i="6"/>
  <c r="Z24" i="6"/>
  <c r="AS24" i="6"/>
  <c r="U32" i="6"/>
  <c r="AJ28" i="6"/>
  <c r="X32" i="6"/>
  <c r="AV33" i="6"/>
  <c r="AV6" i="6" s="1"/>
  <c r="AP24" i="6"/>
  <c r="AJ33" i="6"/>
  <c r="AJ6" i="6" s="1"/>
  <c r="BB33" i="6"/>
  <c r="BB6" i="6" s="1"/>
  <c r="U33" i="6"/>
  <c r="BB24" i="6"/>
  <c r="AY30" i="6"/>
  <c r="AA28" i="6"/>
  <c r="X30" i="6"/>
  <c r="X28" i="6"/>
  <c r="AG24" i="6"/>
  <c r="AD30" i="6"/>
  <c r="U30" i="6"/>
  <c r="AV30" i="6"/>
  <c r="AC24" i="6"/>
  <c r="AM28" i="6"/>
  <c r="X24" i="6"/>
  <c r="AD33" i="6"/>
  <c r="AD6" i="6" s="1"/>
  <c r="AG30" i="6"/>
  <c r="AY33" i="6"/>
  <c r="AY6" i="6" s="1"/>
  <c r="AA24" i="6"/>
  <c r="AA33" i="6"/>
  <c r="AA6" i="6" s="1"/>
  <c r="AJ5" i="6"/>
  <c r="AU24" i="6"/>
  <c r="AM24" i="6"/>
  <c r="AR24" i="6"/>
  <c r="AL21" i="6"/>
  <c r="AL20" i="6"/>
  <c r="AL23" i="6"/>
  <c r="AL22" i="6"/>
  <c r="AL26" i="6"/>
  <c r="AL28" i="6" s="1"/>
  <c r="AL5" i="6"/>
  <c r="AF23" i="6"/>
  <c r="AF22" i="6"/>
  <c r="AF26" i="6"/>
  <c r="AF28" i="6" s="1"/>
  <c r="AF21" i="6"/>
  <c r="AF20" i="6"/>
  <c r="AO24" i="6"/>
  <c r="T24" i="6"/>
  <c r="U39" i="6"/>
  <c r="T46" i="6"/>
  <c r="BC56" i="6"/>
  <c r="BC23" i="6"/>
  <c r="BC20" i="6"/>
  <c r="BC37" i="6"/>
  <c r="BC55" i="6"/>
  <c r="T59" i="6"/>
  <c r="AO6" i="6"/>
  <c r="BC36" i="6"/>
  <c r="U59" i="6"/>
  <c r="BC54" i="6"/>
  <c r="BC27" i="6"/>
  <c r="U5" i="6"/>
  <c r="AF5" i="6"/>
  <c r="U28" i="6"/>
  <c r="BC26" i="6"/>
  <c r="BC22" i="6"/>
  <c r="T40" i="6"/>
  <c r="U7" i="6"/>
  <c r="BC58" i="6"/>
  <c r="Z5" i="6"/>
  <c r="BC21" i="6"/>
  <c r="AJ37" i="8" l="1"/>
  <c r="BD7" i="8"/>
  <c r="AL43" i="8"/>
  <c r="AR4" i="6"/>
  <c r="AP49" i="8"/>
  <c r="AD37" i="8"/>
  <c r="AS6" i="8"/>
  <c r="AA37" i="8"/>
  <c r="AS49" i="8"/>
  <c r="AM37" i="8"/>
  <c r="AY49" i="8"/>
  <c r="BB49" i="8"/>
  <c r="X37" i="8"/>
  <c r="AP37" i="8"/>
  <c r="BE9" i="8"/>
  <c r="BF9" i="8"/>
  <c r="AG37" i="8"/>
  <c r="AV49" i="8"/>
  <c r="U2" i="8"/>
  <c r="AJ3" i="8"/>
  <c r="AS3" i="8"/>
  <c r="AO2" i="6"/>
  <c r="T43" i="8"/>
  <c r="AO40" i="6"/>
  <c r="U37" i="8"/>
  <c r="T3" i="8"/>
  <c r="W3" i="6"/>
  <c r="BA34" i="6"/>
  <c r="AO3" i="6"/>
  <c r="AC2" i="6"/>
  <c r="AX34" i="6"/>
  <c r="U2" i="6"/>
  <c r="BA4" i="6"/>
  <c r="AX2" i="6"/>
  <c r="AO34" i="6"/>
  <c r="AU2" i="6"/>
  <c r="AI2" i="8"/>
  <c r="AR2" i="6"/>
  <c r="AC40" i="6"/>
  <c r="AC6" i="6"/>
  <c r="T34" i="6"/>
  <c r="AI40" i="6"/>
  <c r="W34" i="6"/>
  <c r="BA6" i="6"/>
  <c r="Z34" i="6"/>
  <c r="AI34" i="6"/>
  <c r="AR3" i="6"/>
  <c r="T4" i="8"/>
  <c r="AG2" i="8"/>
  <c r="AA3" i="8"/>
  <c r="AS2" i="8"/>
  <c r="AG6" i="8"/>
  <c r="AX2" i="8"/>
  <c r="Z2" i="8"/>
  <c r="T2" i="8"/>
  <c r="AP2" i="8"/>
  <c r="AY2" i="8"/>
  <c r="T6" i="8"/>
  <c r="AR46" i="6"/>
  <c r="AC34" i="6"/>
  <c r="AU3" i="6"/>
  <c r="BA40" i="6"/>
  <c r="AR6" i="6"/>
  <c r="AR34" i="6"/>
  <c r="AC46" i="6"/>
  <c r="AC3" i="6"/>
  <c r="AU46" i="6"/>
  <c r="AR40" i="6"/>
  <c r="AU34" i="6"/>
  <c r="U46" i="6"/>
  <c r="AP2" i="6"/>
  <c r="U4" i="6"/>
  <c r="AX3" i="6"/>
  <c r="BC47" i="8"/>
  <c r="U49" i="8"/>
  <c r="AA2" i="8"/>
  <c r="AV3" i="8"/>
  <c r="AV2" i="8"/>
  <c r="X2" i="8"/>
  <c r="AD2" i="8"/>
  <c r="BA8" i="8"/>
  <c r="AX8" i="8"/>
  <c r="AC3" i="8"/>
  <c r="AC4" i="8"/>
  <c r="AI7" i="8"/>
  <c r="BA2" i="8"/>
  <c r="AM2" i="8"/>
  <c r="X3" i="8"/>
  <c r="Z4" i="8"/>
  <c r="AI4" i="8"/>
  <c r="AC2" i="8"/>
  <c r="AG3" i="8"/>
  <c r="AD3" i="8"/>
  <c r="BB2" i="8"/>
  <c r="AP3" i="8"/>
  <c r="AM3" i="8"/>
  <c r="AI8" i="8"/>
  <c r="AF4" i="8"/>
  <c r="AS8" i="8"/>
  <c r="BB3" i="8"/>
  <c r="AF2" i="8"/>
  <c r="BC35" i="8"/>
  <c r="AC7" i="8"/>
  <c r="AF6" i="8"/>
  <c r="AC8" i="8"/>
  <c r="AL2" i="8"/>
  <c r="BC45" i="8"/>
  <c r="AY3" i="8"/>
  <c r="AL6" i="8"/>
  <c r="AL3" i="8"/>
  <c r="AJ2" i="8"/>
  <c r="AF3" i="8"/>
  <c r="Z7" i="8"/>
  <c r="AA49" i="8"/>
  <c r="AA8" i="8"/>
  <c r="BA3" i="6"/>
  <c r="X49" i="8"/>
  <c r="AJ49" i="8"/>
  <c r="BC36" i="8"/>
  <c r="BF6" i="8" s="1"/>
  <c r="AD49" i="8"/>
  <c r="AP3" i="6"/>
  <c r="AM3" i="6"/>
  <c r="X4" i="6"/>
  <c r="AD3" i="6"/>
  <c r="AI7" i="6"/>
  <c r="AD46" i="6"/>
  <c r="BC18" i="6"/>
  <c r="AD2" i="6"/>
  <c r="AF46" i="6"/>
  <c r="X2" i="6"/>
  <c r="AS3" i="6"/>
  <c r="W4" i="6"/>
  <c r="AM2" i="6"/>
  <c r="BC31" i="6"/>
  <c r="AX46" i="6"/>
  <c r="AI55" i="8"/>
  <c r="AC55" i="8"/>
  <c r="BC48" i="8"/>
  <c r="BE8" i="8" s="1"/>
  <c r="AG49" i="8"/>
  <c r="AM49" i="8"/>
  <c r="BC46" i="8"/>
  <c r="T23" i="8"/>
  <c r="AX7" i="6"/>
  <c r="AS46" i="6"/>
  <c r="AP46" i="6"/>
  <c r="BB3" i="6"/>
  <c r="AJ46" i="6"/>
  <c r="AI52" i="6"/>
  <c r="BD5" i="6"/>
  <c r="AP8" i="6"/>
  <c r="AS2" i="6"/>
  <c r="AX4" i="6"/>
  <c r="AG3" i="6"/>
  <c r="F11" i="4"/>
  <c r="F12" i="4" s="1"/>
  <c r="Z55" i="8"/>
  <c r="BB2" i="6"/>
  <c r="AA2" i="6"/>
  <c r="AL7" i="6"/>
  <c r="AG4" i="6"/>
  <c r="AV46" i="6"/>
  <c r="BC42" i="6"/>
  <c r="AV2" i="6"/>
  <c r="AS4" i="6"/>
  <c r="AI6" i="6"/>
  <c r="W7" i="6"/>
  <c r="AI8" i="6"/>
  <c r="AF7" i="6"/>
  <c r="AF52" i="6"/>
  <c r="AM46" i="6"/>
  <c r="W2" i="6"/>
  <c r="BC45" i="6"/>
  <c r="BF8" i="6" s="1"/>
  <c r="BA7" i="6"/>
  <c r="Z7" i="6"/>
  <c r="AL52" i="6"/>
  <c r="AX52" i="6"/>
  <c r="X8" i="6"/>
  <c r="BA52" i="6"/>
  <c r="Z8" i="6"/>
  <c r="X46" i="6"/>
  <c r="AY46" i="6"/>
  <c r="W52" i="6"/>
  <c r="Z52" i="6"/>
  <c r="Z49" i="8"/>
  <c r="AC49" i="8"/>
  <c r="AV3" i="6"/>
  <c r="BC29" i="8"/>
  <c r="AP34" i="6"/>
  <c r="AJ34" i="6"/>
  <c r="AS34" i="6"/>
  <c r="AG46" i="6"/>
  <c r="AL59" i="6"/>
  <c r="AG34" i="6"/>
  <c r="AL46" i="6"/>
  <c r="AJ3" i="6"/>
  <c r="AD4" i="6"/>
  <c r="AL4" i="6"/>
  <c r="AP4" i="6"/>
  <c r="AM34" i="6"/>
  <c r="Z46" i="6"/>
  <c r="W8" i="6"/>
  <c r="AA46" i="6"/>
  <c r="AF4" i="6"/>
  <c r="BA8" i="6"/>
  <c r="BD7" i="6"/>
  <c r="BC44" i="6"/>
  <c r="BC43" i="8"/>
  <c r="BC62" i="8"/>
  <c r="BC23" i="8"/>
  <c r="BF7" i="8"/>
  <c r="BE7" i="8"/>
  <c r="BD4" i="8"/>
  <c r="AI49" i="8"/>
  <c r="BC43" i="6"/>
  <c r="BB46" i="6"/>
  <c r="W59" i="6"/>
  <c r="BB4" i="6"/>
  <c r="AX59" i="6"/>
  <c r="AL8" i="6"/>
  <c r="W46" i="6"/>
  <c r="AA3" i="6"/>
  <c r="BA59" i="6"/>
  <c r="AF8" i="6"/>
  <c r="BB34" i="6"/>
  <c r="BA2" i="6"/>
  <c r="Z59" i="6"/>
  <c r="AI59" i="6"/>
  <c r="BA46" i="6"/>
  <c r="AF59" i="6"/>
  <c r="AI46" i="6"/>
  <c r="AF40" i="6"/>
  <c r="AL40" i="6"/>
  <c r="AF34" i="6"/>
  <c r="AA34" i="6"/>
  <c r="AY34" i="6"/>
  <c r="X34" i="6"/>
  <c r="AY2" i="6"/>
  <c r="AV34" i="6"/>
  <c r="AL2" i="6"/>
  <c r="AL34" i="6"/>
  <c r="AI3" i="6"/>
  <c r="U6" i="6"/>
  <c r="AD34" i="6"/>
  <c r="U34" i="6"/>
  <c r="U40" i="6"/>
  <c r="AG6" i="6"/>
  <c r="BC39" i="6"/>
  <c r="BC38" i="6"/>
  <c r="AM4" i="6"/>
  <c r="X6" i="6"/>
  <c r="AL3" i="6"/>
  <c r="AL6" i="6"/>
  <c r="AF24" i="6"/>
  <c r="AL24" i="6"/>
  <c r="BC28" i="6"/>
  <c r="Z3" i="6"/>
  <c r="AI4" i="6"/>
  <c r="AF3" i="6"/>
  <c r="AA4" i="6"/>
  <c r="AF2" i="6"/>
  <c r="BF7" i="6"/>
  <c r="BE7" i="6"/>
  <c r="BF5" i="6"/>
  <c r="BE5" i="6"/>
  <c r="BC33" i="6"/>
  <c r="Z2" i="6"/>
  <c r="BC32" i="6"/>
  <c r="AY4" i="6"/>
  <c r="Z4" i="6"/>
  <c r="AJ2" i="6"/>
  <c r="AI2" i="6"/>
  <c r="BC30" i="6"/>
  <c r="AG2" i="6"/>
  <c r="Z6" i="6"/>
  <c r="AF6" i="6"/>
  <c r="BC59" i="6"/>
  <c r="BC24" i="6"/>
  <c r="BF4" i="8" l="1"/>
  <c r="BD6" i="8"/>
  <c r="BG9" i="8"/>
  <c r="C33" i="4" s="1"/>
  <c r="C34" i="4" s="1"/>
  <c r="E34" i="4" s="1"/>
  <c r="G34" i="4" s="1"/>
  <c r="BD8" i="6"/>
  <c r="BE4" i="8"/>
  <c r="BF3" i="8"/>
  <c r="BD2" i="8"/>
  <c r="BF3" i="6"/>
  <c r="BD8" i="8"/>
  <c r="BF2" i="8"/>
  <c r="BE6" i="8"/>
  <c r="BE2" i="8"/>
  <c r="BF8" i="8"/>
  <c r="BE3" i="8"/>
  <c r="BC49" i="8"/>
  <c r="BC37" i="8"/>
  <c r="BD3" i="8"/>
  <c r="BF2" i="6"/>
  <c r="BG7" i="8"/>
  <c r="D25" i="4" s="1"/>
  <c r="BE8" i="6"/>
  <c r="D11" i="4"/>
  <c r="D12" i="4" s="1"/>
  <c r="E11" i="4"/>
  <c r="E12" i="4" s="1"/>
  <c r="BC46" i="6"/>
  <c r="BG5" i="6"/>
  <c r="C17" i="4" s="1"/>
  <c r="BG7" i="6"/>
  <c r="BD3" i="6"/>
  <c r="BE3" i="6"/>
  <c r="BD6" i="6"/>
  <c r="BC40" i="6"/>
  <c r="BF6" i="6"/>
  <c r="BF4" i="6"/>
  <c r="BD4" i="6"/>
  <c r="BC34" i="6"/>
  <c r="BE6" i="6"/>
  <c r="BD2" i="6"/>
  <c r="BE2" i="6"/>
  <c r="BE4" i="6"/>
  <c r="BG4" i="8" l="1"/>
  <c r="BG6" i="8"/>
  <c r="D21" i="4" s="1"/>
  <c r="E33" i="4"/>
  <c r="G33" i="4" s="1"/>
  <c r="BG8" i="8"/>
  <c r="C29" i="4" s="1"/>
  <c r="BG2" i="8"/>
  <c r="D4" i="4" s="1"/>
  <c r="BG3" i="8"/>
  <c r="D7" i="4" s="1"/>
  <c r="D8" i="4" s="1"/>
  <c r="BG8" i="6"/>
  <c r="BG6" i="6"/>
  <c r="BG3" i="6"/>
  <c r="BG2" i="6"/>
  <c r="C4" i="4" s="1"/>
  <c r="BG4" i="6"/>
  <c r="C18" i="4"/>
  <c r="BD7" i="1"/>
  <c r="AL43" i="1"/>
  <c r="AO43" i="1"/>
  <c r="AP44" i="1" s="1"/>
  <c r="AP42" i="1" s="1"/>
  <c r="AR43" i="1"/>
  <c r="AU43" i="1"/>
  <c r="AV44" i="1" s="1"/>
  <c r="AV41" i="1" s="1"/>
  <c r="AX43" i="1"/>
  <c r="AY44" i="1" s="1"/>
  <c r="AF43" i="1"/>
  <c r="AI43" i="1"/>
  <c r="AJ44" i="1" s="1"/>
  <c r="W43" i="1"/>
  <c r="Z43" i="1"/>
  <c r="AA44" i="1" s="1"/>
  <c r="AA40" i="1" s="1"/>
  <c r="T43" i="1"/>
  <c r="U44" i="1" s="1"/>
  <c r="U42" i="1" s="1"/>
  <c r="AR32" i="1"/>
  <c r="AU32" i="1"/>
  <c r="AV33" i="1" s="1"/>
  <c r="AX32" i="1"/>
  <c r="AY33" i="1" s="1"/>
  <c r="AO32" i="1"/>
  <c r="AP33" i="1" s="1"/>
  <c r="AI32" i="1"/>
  <c r="AJ33" i="1" s="1"/>
  <c r="AL32" i="1"/>
  <c r="AF32" i="1"/>
  <c r="Z32" i="1"/>
  <c r="W32" i="1"/>
  <c r="X33" i="1" s="1"/>
  <c r="AX16" i="1"/>
  <c r="T16" i="1"/>
  <c r="W16" i="1"/>
  <c r="Z16" i="1"/>
  <c r="AC16" i="1"/>
  <c r="AF16" i="1"/>
  <c r="AI16" i="1"/>
  <c r="AL16" i="1"/>
  <c r="AO16" i="1"/>
  <c r="AR16" i="1"/>
  <c r="AU16" i="1"/>
  <c r="BA39" i="1"/>
  <c r="D29" i="4" l="1"/>
  <c r="E29" i="4" s="1"/>
  <c r="AJ41" i="1"/>
  <c r="AJ42" i="1"/>
  <c r="AY29" i="1"/>
  <c r="AY28" i="1"/>
  <c r="AY27" i="1"/>
  <c r="AY30" i="1"/>
  <c r="AY31" i="1"/>
  <c r="AY40" i="1"/>
  <c r="AY42" i="1"/>
  <c r="AV31" i="1"/>
  <c r="AV30" i="1"/>
  <c r="AV29" i="1"/>
  <c r="AV27" i="1"/>
  <c r="AV28" i="1"/>
  <c r="AJ31" i="1"/>
  <c r="AJ30" i="1"/>
  <c r="AJ29" i="1"/>
  <c r="AJ28" i="1"/>
  <c r="AJ27" i="1"/>
  <c r="X29" i="1"/>
  <c r="X28" i="1"/>
  <c r="X27" i="1"/>
  <c r="X31" i="1"/>
  <c r="X30" i="1"/>
  <c r="AP28" i="1"/>
  <c r="AP27" i="1"/>
  <c r="AP29" i="1"/>
  <c r="AP31" i="1"/>
  <c r="AP30" i="1"/>
  <c r="C8" i="4"/>
  <c r="AM44" i="1"/>
  <c r="AM40" i="1" s="1"/>
  <c r="AV40" i="1"/>
  <c r="AS33" i="1"/>
  <c r="AA42" i="1"/>
  <c r="AJ40" i="1"/>
  <c r="AP41" i="1"/>
  <c r="BC7" i="1"/>
  <c r="AV42" i="1"/>
  <c r="AY41" i="1"/>
  <c r="AP40" i="1"/>
  <c r="AS44" i="1"/>
  <c r="AG44" i="1"/>
  <c r="X44" i="1"/>
  <c r="AA41" i="1"/>
  <c r="U41" i="1"/>
  <c r="U40" i="1"/>
  <c r="AM33" i="1"/>
  <c r="AG33" i="1"/>
  <c r="AA33" i="1"/>
  <c r="BA10" i="1"/>
  <c r="AZ54" i="1"/>
  <c r="AW54" i="1"/>
  <c r="AT54" i="1"/>
  <c r="AQ54" i="1"/>
  <c r="AN54" i="1"/>
  <c r="AK54" i="1"/>
  <c r="AH54" i="1"/>
  <c r="AE54" i="1"/>
  <c r="AB54" i="1"/>
  <c r="Y54" i="1"/>
  <c r="V54" i="1"/>
  <c r="AZ70" i="1"/>
  <c r="AW70" i="1"/>
  <c r="AZ69" i="1"/>
  <c r="AW69" i="1"/>
  <c r="AZ68" i="1"/>
  <c r="AW68" i="1"/>
  <c r="AZ67" i="1"/>
  <c r="AW67" i="1"/>
  <c r="AZ66" i="1"/>
  <c r="AW66" i="1"/>
  <c r="AZ65" i="1"/>
  <c r="AW65" i="1"/>
  <c r="AZ64" i="1"/>
  <c r="AW64" i="1"/>
  <c r="AZ63" i="1"/>
  <c r="AW63" i="1"/>
  <c r="AZ62" i="1"/>
  <c r="AW62" i="1"/>
  <c r="AZ61" i="1"/>
  <c r="AW61" i="1"/>
  <c r="AT61" i="1"/>
  <c r="AZ60" i="1"/>
  <c r="AW60" i="1"/>
  <c r="AT60" i="1"/>
  <c r="AQ60" i="1"/>
  <c r="AN60" i="1"/>
  <c r="AK60" i="1"/>
  <c r="AH60" i="1"/>
  <c r="AZ59" i="1"/>
  <c r="AW59" i="1"/>
  <c r="AT59" i="1"/>
  <c r="AQ59" i="1"/>
  <c r="AN59" i="1"/>
  <c r="AK59" i="1"/>
  <c r="AH59" i="1"/>
  <c r="AZ58" i="1"/>
  <c r="AW58" i="1"/>
  <c r="AT58" i="1"/>
  <c r="AQ58" i="1"/>
  <c r="AN58" i="1"/>
  <c r="AK58" i="1"/>
  <c r="AH58" i="1"/>
  <c r="AZ57" i="1"/>
  <c r="AW57" i="1"/>
  <c r="AT57" i="1"/>
  <c r="AQ57" i="1"/>
  <c r="AN57" i="1"/>
  <c r="AK57" i="1"/>
  <c r="AH57" i="1"/>
  <c r="AE60" i="1"/>
  <c r="AE59" i="1"/>
  <c r="AE58" i="1"/>
  <c r="AE57" i="1"/>
  <c r="AK56" i="1"/>
  <c r="AH56" i="1"/>
  <c r="AE56" i="1"/>
  <c r="AB56" i="1"/>
  <c r="Y56" i="1"/>
  <c r="V56" i="1"/>
  <c r="AZ55" i="1"/>
  <c r="AW55" i="1"/>
  <c r="AT55" i="1"/>
  <c r="AQ55" i="1"/>
  <c r="AN55" i="1"/>
  <c r="AK55" i="1"/>
  <c r="AH55" i="1"/>
  <c r="AE55" i="1"/>
  <c r="AB55" i="1"/>
  <c r="Y55" i="1"/>
  <c r="AZ53" i="1"/>
  <c r="AW53" i="1"/>
  <c r="AT53" i="1"/>
  <c r="AQ53" i="1"/>
  <c r="AN53" i="1"/>
  <c r="AK53" i="1"/>
  <c r="AH53" i="1"/>
  <c r="AE53" i="1"/>
  <c r="AB53" i="1"/>
  <c r="Y53" i="1"/>
  <c r="V53" i="1"/>
  <c r="AZ52" i="1"/>
  <c r="AW52" i="1"/>
  <c r="AT52" i="1"/>
  <c r="AZ51" i="1"/>
  <c r="BA51" i="1" s="1"/>
  <c r="AZ50" i="1"/>
  <c r="AW50" i="1"/>
  <c r="AT50" i="1"/>
  <c r="AQ50" i="1"/>
  <c r="AN50" i="1"/>
  <c r="AK50" i="1"/>
  <c r="AH50" i="1"/>
  <c r="AE50" i="1"/>
  <c r="AB50" i="1"/>
  <c r="Y50" i="1"/>
  <c r="V50" i="1"/>
  <c r="AZ49" i="1"/>
  <c r="AW49" i="1"/>
  <c r="AZ48" i="1"/>
  <c r="AW48" i="1"/>
  <c r="AT47" i="1"/>
  <c r="AQ47" i="1"/>
  <c r="AN47" i="1"/>
  <c r="AK47" i="1"/>
  <c r="AH47" i="1"/>
  <c r="AZ46" i="1"/>
  <c r="AW46" i="1"/>
  <c r="AT46" i="1"/>
  <c r="AQ46" i="1"/>
  <c r="AN46" i="1"/>
  <c r="S50" i="1"/>
  <c r="S53" i="1"/>
  <c r="S54" i="1"/>
  <c r="AZ7" i="1" l="1"/>
  <c r="BA62" i="1"/>
  <c r="BA66" i="1"/>
  <c r="BA70" i="1"/>
  <c r="AM41" i="1"/>
  <c r="BA48" i="1"/>
  <c r="BA52" i="1"/>
  <c r="BA56" i="1"/>
  <c r="AA31" i="1"/>
  <c r="AA30" i="1"/>
  <c r="AA29" i="1"/>
  <c r="AA28" i="1"/>
  <c r="AA27" i="1"/>
  <c r="AG30" i="1"/>
  <c r="AG29" i="1"/>
  <c r="AG28" i="1"/>
  <c r="AG27" i="1"/>
  <c r="AG31" i="1"/>
  <c r="AS31" i="1"/>
  <c r="AS30" i="1"/>
  <c r="AS29" i="1"/>
  <c r="AS28" i="1"/>
  <c r="AS27" i="1"/>
  <c r="AM31" i="1"/>
  <c r="AM30" i="1"/>
  <c r="AM29" i="1"/>
  <c r="AM28" i="1"/>
  <c r="AM27" i="1"/>
  <c r="AJ43" i="1"/>
  <c r="U43" i="1"/>
  <c r="AP43" i="1"/>
  <c r="AM42" i="1"/>
  <c r="BA59" i="1"/>
  <c r="BA53" i="1"/>
  <c r="AY43" i="1"/>
  <c r="BA60" i="1"/>
  <c r="BA49" i="1"/>
  <c r="BA54" i="1"/>
  <c r="BA47" i="1"/>
  <c r="BA63" i="1"/>
  <c r="BA67" i="1"/>
  <c r="AA43" i="1"/>
  <c r="BA50" i="1"/>
  <c r="BA64" i="1"/>
  <c r="BA68" i="1"/>
  <c r="BA46" i="1"/>
  <c r="BA55" i="1"/>
  <c r="BA57" i="1"/>
  <c r="BA61" i="1"/>
  <c r="BA58" i="1"/>
  <c r="BA65" i="1"/>
  <c r="BA69" i="1"/>
  <c r="AV43" i="1"/>
  <c r="AS42" i="1"/>
  <c r="AS40" i="1"/>
  <c r="AS41" i="1"/>
  <c r="AG40" i="1"/>
  <c r="AG41" i="1"/>
  <c r="AG42" i="1"/>
  <c r="X40" i="1"/>
  <c r="X42" i="1"/>
  <c r="X41" i="1"/>
  <c r="T20" i="1"/>
  <c r="U21" i="1" s="1"/>
  <c r="U19" i="1" s="1"/>
  <c r="W20" i="1"/>
  <c r="X21" i="1" s="1"/>
  <c r="X19" i="1" s="1"/>
  <c r="Z20" i="1"/>
  <c r="AA21" i="1" s="1"/>
  <c r="AA19" i="1" s="1"/>
  <c r="AC20" i="1"/>
  <c r="AD21" i="1" s="1"/>
  <c r="AD19" i="1" s="1"/>
  <c r="AF20" i="1"/>
  <c r="AG21" i="1" s="1"/>
  <c r="AG19" i="1" s="1"/>
  <c r="AI20" i="1"/>
  <c r="AJ21" i="1" s="1"/>
  <c r="AJ19" i="1" s="1"/>
  <c r="AL20" i="1"/>
  <c r="AM21" i="1" s="1"/>
  <c r="AM19" i="1" s="1"/>
  <c r="AO20" i="1"/>
  <c r="AR20" i="1"/>
  <c r="AS21" i="1" s="1"/>
  <c r="AS19" i="1" s="1"/>
  <c r="AU20" i="1"/>
  <c r="AX20" i="1"/>
  <c r="O13" i="1"/>
  <c r="AM43" i="1" l="1"/>
  <c r="AZ14" i="1"/>
  <c r="AW15" i="1"/>
  <c r="AZ12" i="1"/>
  <c r="AZ15" i="1"/>
  <c r="AW12" i="1"/>
  <c r="AW14" i="1"/>
  <c r="AY21" i="1"/>
  <c r="AY19" i="1" s="1"/>
  <c r="AS43" i="1"/>
  <c r="AG43" i="1"/>
  <c r="X43" i="1"/>
  <c r="AV21" i="1"/>
  <c r="AV19" i="1" s="1"/>
  <c r="AP21" i="1"/>
  <c r="AP19" i="1" s="1"/>
  <c r="AZ16" i="1" l="1"/>
  <c r="AW16" i="1"/>
  <c r="AP17" i="1"/>
  <c r="AS17" i="1"/>
  <c r="AV17" i="1"/>
  <c r="AY17" i="1"/>
  <c r="AD17" i="1"/>
  <c r="AD22" i="1" s="1"/>
  <c r="AG17" i="1"/>
  <c r="AG22" i="1" s="1"/>
  <c r="AJ17" i="1"/>
  <c r="AJ22" i="1" s="1"/>
  <c r="AM17" i="1"/>
  <c r="AA17" i="1"/>
  <c r="AA22" i="1" s="1"/>
  <c r="Q5" i="1"/>
  <c r="T37" i="1"/>
  <c r="U38" i="1" s="1"/>
  <c r="Q32" i="1"/>
  <c r="R33" i="1" s="1"/>
  <c r="AF37" i="1"/>
  <c r="AG38" i="1" s="1"/>
  <c r="AI37" i="1"/>
  <c r="AJ38" i="1" s="1"/>
  <c r="AL37" i="1"/>
  <c r="AM38" i="1" s="1"/>
  <c r="AO37" i="1"/>
  <c r="AP38" i="1" s="1"/>
  <c r="AR37" i="1"/>
  <c r="AS38" i="1" s="1"/>
  <c r="AU37" i="1"/>
  <c r="AX37" i="1"/>
  <c r="AC37" i="1"/>
  <c r="Z37" i="1"/>
  <c r="W37" i="1"/>
  <c r="N34" i="1"/>
  <c r="M34" i="1"/>
  <c r="N41" i="1"/>
  <c r="M41" i="1"/>
  <c r="AC43" i="1"/>
  <c r="AD44" i="1" s="1"/>
  <c r="Q43" i="1"/>
  <c r="N40" i="1"/>
  <c r="M40" i="1"/>
  <c r="AF25" i="1"/>
  <c r="AI25" i="1"/>
  <c r="AJ26" i="1" s="1"/>
  <c r="AL25" i="1"/>
  <c r="AO25" i="1"/>
  <c r="AR25" i="1"/>
  <c r="AS26" i="1" s="1"/>
  <c r="AU25" i="1"/>
  <c r="AX25" i="1"/>
  <c r="W25" i="1"/>
  <c r="Z25" i="1"/>
  <c r="AC25" i="1"/>
  <c r="T25" i="1"/>
  <c r="U26" i="1" s="1"/>
  <c r="N23" i="1"/>
  <c r="M23" i="1"/>
  <c r="Q25" i="1"/>
  <c r="X17" i="1"/>
  <c r="X22" i="1" s="1"/>
  <c r="U17" i="1"/>
  <c r="U22" i="1" s="1"/>
  <c r="N22" i="1"/>
  <c r="M22" i="1"/>
  <c r="M12" i="1"/>
  <c r="N12" i="1"/>
  <c r="AY22" i="1" l="1"/>
  <c r="AY13" i="1"/>
  <c r="AY15" i="1"/>
  <c r="AS24" i="1"/>
  <c r="AS23" i="1"/>
  <c r="AV13" i="1"/>
  <c r="AV22" i="1"/>
  <c r="AS13" i="1"/>
  <c r="AS22" i="1"/>
  <c r="AG36" i="1"/>
  <c r="AG35" i="1"/>
  <c r="AG34" i="1"/>
  <c r="U24" i="1"/>
  <c r="U23" i="1"/>
  <c r="AS36" i="1"/>
  <c r="AS35" i="1"/>
  <c r="AS34" i="1"/>
  <c r="AP22" i="1"/>
  <c r="AP13" i="1"/>
  <c r="AJ24" i="1"/>
  <c r="AJ23" i="1"/>
  <c r="AP35" i="1"/>
  <c r="AP34" i="1"/>
  <c r="AP36" i="1"/>
  <c r="AM22" i="1"/>
  <c r="AM13" i="1"/>
  <c r="AJ34" i="1"/>
  <c r="AJ36" i="1"/>
  <c r="AJ35" i="1"/>
  <c r="AM36" i="1"/>
  <c r="AM35" i="1"/>
  <c r="AM34" i="1"/>
  <c r="AY14" i="1"/>
  <c r="AY12" i="1"/>
  <c r="U12" i="1"/>
  <c r="U15" i="1"/>
  <c r="U13" i="1"/>
  <c r="U14" i="1"/>
  <c r="AA14" i="1"/>
  <c r="AA13" i="1"/>
  <c r="AA15" i="1"/>
  <c r="AA12" i="1"/>
  <c r="X13" i="1"/>
  <c r="X12" i="1"/>
  <c r="X14" i="1"/>
  <c r="X15" i="1"/>
  <c r="AM14" i="1"/>
  <c r="AM12" i="1"/>
  <c r="AM15" i="1"/>
  <c r="AJ13" i="1"/>
  <c r="AJ12" i="1"/>
  <c r="AJ15" i="1"/>
  <c r="AJ14" i="1"/>
  <c r="AV12" i="1"/>
  <c r="AV15" i="1"/>
  <c r="AV14" i="1"/>
  <c r="AP15" i="1"/>
  <c r="AP14" i="1"/>
  <c r="AP12" i="1"/>
  <c r="AG12" i="1"/>
  <c r="AG15" i="1"/>
  <c r="AG14" i="1"/>
  <c r="AG13" i="1"/>
  <c r="AS12" i="1"/>
  <c r="AS15" i="1"/>
  <c r="AS14" i="1"/>
  <c r="AD15" i="1"/>
  <c r="AD14" i="1"/>
  <c r="AD13" i="1"/>
  <c r="AD12" i="1"/>
  <c r="AJ18" i="1"/>
  <c r="AJ20" i="1" s="1"/>
  <c r="X18" i="1"/>
  <c r="X20" i="1" s="1"/>
  <c r="AG18" i="1"/>
  <c r="AG20" i="1" s="1"/>
  <c r="AV18" i="1"/>
  <c r="AV20" i="1" s="1"/>
  <c r="AP18" i="1"/>
  <c r="AP20" i="1" s="1"/>
  <c r="AD18" i="1"/>
  <c r="AD20" i="1" s="1"/>
  <c r="AY18" i="1"/>
  <c r="AY20" i="1" s="1"/>
  <c r="AS18" i="1"/>
  <c r="AS20" i="1" s="1"/>
  <c r="U18" i="1"/>
  <c r="U20" i="1" s="1"/>
  <c r="AA18" i="1"/>
  <c r="AA20" i="1" s="1"/>
  <c r="AM18" i="1"/>
  <c r="AM20" i="1" s="1"/>
  <c r="O23" i="1"/>
  <c r="AT22" i="1" s="1"/>
  <c r="U34" i="1"/>
  <c r="U36" i="1"/>
  <c r="U35" i="1"/>
  <c r="O41" i="1"/>
  <c r="X26" i="1"/>
  <c r="AV38" i="1"/>
  <c r="AY26" i="1"/>
  <c r="AP26" i="1"/>
  <c r="AD38" i="1"/>
  <c r="AA38" i="1"/>
  <c r="AY38" i="1"/>
  <c r="X38" i="1"/>
  <c r="AD41" i="1"/>
  <c r="AD40" i="1"/>
  <c r="AD42" i="1"/>
  <c r="AG26" i="1"/>
  <c r="AV26" i="1"/>
  <c r="AM26" i="1"/>
  <c r="AD26" i="1"/>
  <c r="AA26" i="1"/>
  <c r="X24" i="1" l="1"/>
  <c r="X23" i="1"/>
  <c r="AA23" i="1"/>
  <c r="AA24" i="1"/>
  <c r="AD24" i="1"/>
  <c r="AD23" i="1"/>
  <c r="AY34" i="1"/>
  <c r="AY36" i="1"/>
  <c r="AY35" i="1"/>
  <c r="AV24" i="1"/>
  <c r="AV23" i="1"/>
  <c r="X36" i="1"/>
  <c r="Y36" i="1" s="1"/>
  <c r="X35" i="1"/>
  <c r="Y35" i="1" s="1"/>
  <c r="X34" i="1"/>
  <c r="AM24" i="1"/>
  <c r="AM23" i="1"/>
  <c r="AV36" i="1"/>
  <c r="AV35" i="1"/>
  <c r="AV34" i="1"/>
  <c r="AA34" i="1"/>
  <c r="AA35" i="1"/>
  <c r="AA36" i="1"/>
  <c r="AD36" i="1"/>
  <c r="AD35" i="1"/>
  <c r="AD34" i="1"/>
  <c r="AG24" i="1"/>
  <c r="AG23" i="1"/>
  <c r="AP24" i="1"/>
  <c r="AP23" i="1"/>
  <c r="AY23" i="1"/>
  <c r="AY24" i="1"/>
  <c r="AG32" i="1"/>
  <c r="AS32" i="1"/>
  <c r="AD16" i="1"/>
  <c r="AA16" i="1"/>
  <c r="AY16" i="1"/>
  <c r="AJ32" i="1"/>
  <c r="X32" i="1"/>
  <c r="AP32" i="1"/>
  <c r="AJ16" i="1"/>
  <c r="X16" i="1"/>
  <c r="AM32" i="1"/>
  <c r="AA32" i="1"/>
  <c r="AY32" i="1"/>
  <c r="AT41" i="1"/>
  <c r="AK42" i="1"/>
  <c r="AT42" i="1"/>
  <c r="AW40" i="1"/>
  <c r="AK40" i="1"/>
  <c r="AZ40" i="1"/>
  <c r="AW41" i="1"/>
  <c r="AZ42" i="1"/>
  <c r="AW42" i="1"/>
  <c r="AQ42" i="1"/>
  <c r="AN42" i="1"/>
  <c r="AN40" i="1"/>
  <c r="AQ40" i="1"/>
  <c r="AT40" i="1"/>
  <c r="AZ22" i="1"/>
  <c r="AZ24" i="1"/>
  <c r="AV32" i="1"/>
  <c r="AG16" i="1"/>
  <c r="AV16" i="1"/>
  <c r="U16" i="1"/>
  <c r="AM16" i="1"/>
  <c r="AP16" i="1"/>
  <c r="AS16" i="1"/>
  <c r="AJ37" i="1"/>
  <c r="AW22" i="1"/>
  <c r="AJ25" i="1"/>
  <c r="AN23" i="1"/>
  <c r="AQ22" i="1"/>
  <c r="AN22" i="1"/>
  <c r="AK23" i="1"/>
  <c r="AQ24" i="1"/>
  <c r="AT24" i="1"/>
  <c r="AT23" i="1"/>
  <c r="AH24" i="1"/>
  <c r="AW23" i="1"/>
  <c r="AE22" i="1"/>
  <c r="AN24" i="1"/>
  <c r="AE24" i="1"/>
  <c r="AH23" i="1"/>
  <c r="AE23" i="1"/>
  <c r="AZ23" i="1"/>
  <c r="AK24" i="1"/>
  <c r="AQ23" i="1"/>
  <c r="AK22" i="1"/>
  <c r="AW24" i="1"/>
  <c r="AH22" i="1"/>
  <c r="AS25" i="1"/>
  <c r="U37" i="1"/>
  <c r="AM37" i="1"/>
  <c r="AP37" i="1"/>
  <c r="AS37" i="1"/>
  <c r="U25" i="1"/>
  <c r="AD43" i="1"/>
  <c r="AV25" i="1" l="1"/>
  <c r="AA25" i="1"/>
  <c r="AY25" i="1"/>
  <c r="AG25" i="1"/>
  <c r="AD25" i="1"/>
  <c r="AP25" i="1"/>
  <c r="X25" i="1"/>
  <c r="AD37" i="1"/>
  <c r="AM25" i="1"/>
  <c r="AT43" i="1"/>
  <c r="AZ43" i="1"/>
  <c r="AQ43" i="1"/>
  <c r="AW43" i="1"/>
  <c r="AK43" i="1"/>
  <c r="AN43" i="1"/>
  <c r="AH25" i="1"/>
  <c r="AE25" i="1"/>
  <c r="AQ25" i="1"/>
  <c r="AW25" i="1"/>
  <c r="AK25" i="1"/>
  <c r="AN25" i="1"/>
  <c r="AT25" i="1"/>
  <c r="AZ25" i="1"/>
  <c r="AY37" i="1"/>
  <c r="X37" i="1"/>
  <c r="Y37" i="1" s="1"/>
  <c r="AG37" i="1"/>
  <c r="AA37" i="1"/>
  <c r="AV37" i="1"/>
  <c r="N28" i="1" l="1"/>
  <c r="M28" i="1"/>
  <c r="AC32" i="1"/>
  <c r="O40" i="1"/>
  <c r="O34" i="1"/>
  <c r="AZ34" i="1" s="1"/>
  <c r="O22" i="1"/>
  <c r="O18" i="1"/>
  <c r="AZ18" i="1" s="1"/>
  <c r="T32" i="1"/>
  <c r="N27" i="1"/>
  <c r="M27" i="1"/>
  <c r="Q20" i="1"/>
  <c r="T2" i="1"/>
  <c r="W2" i="1"/>
  <c r="Z2" i="1"/>
  <c r="AC2" i="1"/>
  <c r="AF2" i="1"/>
  <c r="AI2" i="1"/>
  <c r="AL2" i="1"/>
  <c r="AO2" i="1"/>
  <c r="AR2" i="1"/>
  <c r="AU2" i="1"/>
  <c r="AX2" i="1"/>
  <c r="T3" i="1"/>
  <c r="W3" i="1"/>
  <c r="Z3" i="1"/>
  <c r="AC3" i="1"/>
  <c r="AF3" i="1"/>
  <c r="AI3" i="1"/>
  <c r="AL3" i="1"/>
  <c r="AO3" i="1"/>
  <c r="AR3" i="1"/>
  <c r="AU3" i="1"/>
  <c r="AX3" i="1"/>
  <c r="T4" i="1"/>
  <c r="W4" i="1"/>
  <c r="Z4" i="1"/>
  <c r="AC4" i="1"/>
  <c r="AF4" i="1"/>
  <c r="AI4" i="1"/>
  <c r="AL4" i="1"/>
  <c r="AO4" i="1"/>
  <c r="AR4" i="1"/>
  <c r="AU4" i="1"/>
  <c r="AX4" i="1"/>
  <c r="T5" i="1"/>
  <c r="W5" i="1"/>
  <c r="Z5" i="1"/>
  <c r="AC5" i="1"/>
  <c r="AF5" i="1"/>
  <c r="AI5" i="1"/>
  <c r="AL5" i="1"/>
  <c r="AO5" i="1"/>
  <c r="AR5" i="1"/>
  <c r="AU5" i="1"/>
  <c r="AX5" i="1"/>
  <c r="T6" i="1"/>
  <c r="W6" i="1"/>
  <c r="X6" i="1"/>
  <c r="Z6" i="1"/>
  <c r="AA6" i="1"/>
  <c r="AC6" i="1"/>
  <c r="AF6" i="1"/>
  <c r="AI6" i="1"/>
  <c r="AJ6" i="1"/>
  <c r="AL6" i="1"/>
  <c r="AO6" i="1"/>
  <c r="AR6" i="1"/>
  <c r="AU6" i="1"/>
  <c r="AX6" i="1"/>
  <c r="T7" i="1"/>
  <c r="U7" i="1"/>
  <c r="V7" i="1"/>
  <c r="W7" i="1"/>
  <c r="X7" i="1"/>
  <c r="Y7" i="1"/>
  <c r="Z7" i="1"/>
  <c r="AA7" i="1"/>
  <c r="AB7" i="1"/>
  <c r="AC7" i="1"/>
  <c r="AD7" i="1"/>
  <c r="AE7" i="1"/>
  <c r="AF7" i="1"/>
  <c r="AG7" i="1"/>
  <c r="AH7" i="1"/>
  <c r="AI7" i="1"/>
  <c r="AJ7" i="1"/>
  <c r="AK7" i="1"/>
  <c r="AL7" i="1"/>
  <c r="AM7" i="1"/>
  <c r="AN7" i="1"/>
  <c r="AO7" i="1"/>
  <c r="AP7" i="1"/>
  <c r="AQ7" i="1"/>
  <c r="AR7" i="1"/>
  <c r="AS7" i="1"/>
  <c r="AT7" i="1"/>
  <c r="AU7" i="1"/>
  <c r="AV7" i="1"/>
  <c r="AW7" i="1"/>
  <c r="AX7" i="1"/>
  <c r="AY7" i="1"/>
  <c r="S7" i="1"/>
  <c r="R7" i="1"/>
  <c r="Q3" i="1"/>
  <c r="Q4" i="1"/>
  <c r="Q6" i="1"/>
  <c r="Q7" i="1"/>
  <c r="Q2" i="1"/>
  <c r="O12" i="1"/>
  <c r="AB15" i="1" l="1"/>
  <c r="AE12" i="1"/>
  <c r="V13" i="1"/>
  <c r="AQ12" i="1"/>
  <c r="AQ15" i="1"/>
  <c r="AT13" i="1"/>
  <c r="AK15" i="1"/>
  <c r="AK14" i="1"/>
  <c r="AK12" i="1"/>
  <c r="AB14" i="1"/>
  <c r="Y15" i="1"/>
  <c r="Y12" i="1"/>
  <c r="Y14" i="1"/>
  <c r="AH13" i="1"/>
  <c r="AT14" i="1"/>
  <c r="AH15" i="1"/>
  <c r="AT12" i="1"/>
  <c r="V14" i="1"/>
  <c r="AQ14" i="1"/>
  <c r="AH12" i="1"/>
  <c r="AH14" i="1"/>
  <c r="AQ13" i="1"/>
  <c r="AE14" i="1"/>
  <c r="V12" i="1"/>
  <c r="AE15" i="1"/>
  <c r="V15" i="1"/>
  <c r="Y13" i="1"/>
  <c r="AE13" i="1"/>
  <c r="AN13" i="1"/>
  <c r="AN14" i="1"/>
  <c r="AK13" i="1"/>
  <c r="AT15" i="1"/>
  <c r="AN12" i="1"/>
  <c r="AB13" i="1"/>
  <c r="AN15" i="1"/>
  <c r="AB12" i="1"/>
  <c r="AB41" i="1"/>
  <c r="AH42" i="1"/>
  <c r="AH40" i="1"/>
  <c r="Y40" i="1"/>
  <c r="AB40" i="1"/>
  <c r="V40" i="1"/>
  <c r="Y41" i="1"/>
  <c r="AB42" i="1"/>
  <c r="V42" i="1"/>
  <c r="Y42" i="1"/>
  <c r="AD33" i="1"/>
  <c r="U33" i="1"/>
  <c r="BB7" i="1"/>
  <c r="BE7" i="1" s="1"/>
  <c r="E25" i="4" s="1"/>
  <c r="F25" i="4" s="1"/>
  <c r="AB19" i="1"/>
  <c r="S18" i="1"/>
  <c r="V18" i="1"/>
  <c r="AH18" i="1"/>
  <c r="AE19" i="1"/>
  <c r="AH19" i="1"/>
  <c r="AN19" i="1"/>
  <c r="AN18" i="1"/>
  <c r="Y18" i="1"/>
  <c r="AK18" i="1"/>
  <c r="AK19" i="1"/>
  <c r="V19" i="1"/>
  <c r="AE18" i="1"/>
  <c r="Y19" i="1"/>
  <c r="S19" i="1"/>
  <c r="AB18" i="1"/>
  <c r="AW18" i="1"/>
  <c r="AQ18" i="1"/>
  <c r="AQ19" i="1"/>
  <c r="AZ19" i="1"/>
  <c r="AT19" i="1"/>
  <c r="AW19" i="1"/>
  <c r="AT18" i="1"/>
  <c r="R21" i="1"/>
  <c r="R19" i="1" s="1"/>
  <c r="O27" i="1"/>
  <c r="V27" i="1" s="1"/>
  <c r="V34" i="1"/>
  <c r="S36" i="1"/>
  <c r="S37" i="1"/>
  <c r="V35" i="1"/>
  <c r="S34" i="1"/>
  <c r="V36" i="1"/>
  <c r="V37" i="1"/>
  <c r="S35" i="1"/>
  <c r="Y34" i="1"/>
  <c r="S22" i="1"/>
  <c r="V22" i="1"/>
  <c r="S23" i="1"/>
  <c r="AB22" i="1"/>
  <c r="AB23" i="1"/>
  <c r="Y23" i="1"/>
  <c r="S24" i="1"/>
  <c r="Y24" i="1"/>
  <c r="Y22" i="1"/>
  <c r="AB24" i="1"/>
  <c r="V23" i="1"/>
  <c r="V24" i="1"/>
  <c r="AH35" i="1"/>
  <c r="AW36" i="1"/>
  <c r="AK36" i="1"/>
  <c r="AQ36" i="1"/>
  <c r="AE34" i="1"/>
  <c r="AN34" i="1"/>
  <c r="AT34" i="1"/>
  <c r="AT35" i="1"/>
  <c r="AB36" i="1"/>
  <c r="AH34" i="1"/>
  <c r="AW34" i="1"/>
  <c r="AN36" i="1"/>
  <c r="AB35" i="1"/>
  <c r="AT36" i="1"/>
  <c r="AE36" i="1"/>
  <c r="AZ36" i="1"/>
  <c r="AK35" i="1"/>
  <c r="AH36" i="1"/>
  <c r="AE35" i="1"/>
  <c r="AQ34" i="1"/>
  <c r="AK34" i="1"/>
  <c r="AB34" i="1"/>
  <c r="AQ35" i="1"/>
  <c r="S40" i="1"/>
  <c r="S41" i="1"/>
  <c r="S42" i="1"/>
  <c r="AE40" i="1"/>
  <c r="AE42" i="1"/>
  <c r="O28" i="1"/>
  <c r="AG4" i="1"/>
  <c r="AG2" i="1"/>
  <c r="AG6" i="1"/>
  <c r="AG5" i="1"/>
  <c r="AY3" i="1"/>
  <c r="AY4" i="1"/>
  <c r="AY5" i="1"/>
  <c r="AY6" i="1"/>
  <c r="AV5" i="1"/>
  <c r="AV4" i="1"/>
  <c r="AV6" i="1"/>
  <c r="AS6" i="1"/>
  <c r="AS5" i="1"/>
  <c r="AS4" i="1"/>
  <c r="AS3" i="1"/>
  <c r="X3" i="1"/>
  <c r="AP3" i="1"/>
  <c r="AP4" i="1"/>
  <c r="AP5" i="1"/>
  <c r="AP6" i="1"/>
  <c r="AJ3" i="1"/>
  <c r="AA5" i="1"/>
  <c r="X4" i="1"/>
  <c r="AM5" i="1"/>
  <c r="AJ4" i="1"/>
  <c r="X5" i="1"/>
  <c r="AM6" i="1"/>
  <c r="AJ5" i="1"/>
  <c r="AM2" i="1"/>
  <c r="AM3" i="1"/>
  <c r="AA3" i="1"/>
  <c r="Q16" i="1"/>
  <c r="R17" i="1" s="1"/>
  <c r="R22" i="1" s="1"/>
  <c r="U27" i="1" l="1"/>
  <c r="U31" i="1"/>
  <c r="U6" i="1" s="1"/>
  <c r="U30" i="1"/>
  <c r="U5" i="1" s="1"/>
  <c r="U29" i="1"/>
  <c r="U4" i="1" s="1"/>
  <c r="U28" i="1"/>
  <c r="U3" i="1" s="1"/>
  <c r="AD27" i="1"/>
  <c r="AD28" i="1"/>
  <c r="AD3" i="1" s="1"/>
  <c r="AD31" i="1"/>
  <c r="AD6" i="1" s="1"/>
  <c r="AD30" i="1"/>
  <c r="AD5" i="1" s="1"/>
  <c r="AD29" i="1"/>
  <c r="AD4" i="1" s="1"/>
  <c r="AB20" i="1"/>
  <c r="AE20" i="1"/>
  <c r="V16" i="1"/>
  <c r="AH43" i="1"/>
  <c r="AB16" i="1"/>
  <c r="AB43" i="1"/>
  <c r="AQ29" i="1"/>
  <c r="AQ27" i="1"/>
  <c r="AQ31" i="1"/>
  <c r="AZ27" i="1"/>
  <c r="AW31" i="1"/>
  <c r="AT31" i="1"/>
  <c r="AT6" i="1" s="1"/>
  <c r="AW27" i="1"/>
  <c r="AT30" i="1"/>
  <c r="AT5" i="1" s="1"/>
  <c r="AZ29" i="1"/>
  <c r="AZ4" i="1" s="1"/>
  <c r="AT27" i="1"/>
  <c r="AW29" i="1"/>
  <c r="AQ30" i="1"/>
  <c r="AZ31" i="1"/>
  <c r="AZ6" i="1" s="1"/>
  <c r="AW30" i="1"/>
  <c r="AW5" i="1" s="1"/>
  <c r="AZ3" i="1"/>
  <c r="AZ30" i="1"/>
  <c r="AZ5" i="1" s="1"/>
  <c r="AT29" i="1"/>
  <c r="BA24" i="1"/>
  <c r="BA35" i="1"/>
  <c r="S30" i="1"/>
  <c r="S5" i="1" s="1"/>
  <c r="AK30" i="1"/>
  <c r="AK5" i="1" s="1"/>
  <c r="AK27" i="1"/>
  <c r="AK2" i="1" s="1"/>
  <c r="Y29" i="1"/>
  <c r="Y4" i="1" s="1"/>
  <c r="AN29" i="1"/>
  <c r="AN4" i="1" s="1"/>
  <c r="AB29" i="1"/>
  <c r="AB4" i="1" s="1"/>
  <c r="AN27" i="1"/>
  <c r="AN2" i="1" s="1"/>
  <c r="AK29" i="1"/>
  <c r="AK4" i="1" s="1"/>
  <c r="AH27" i="1"/>
  <c r="AH30" i="1"/>
  <c r="AH5" i="1" s="1"/>
  <c r="AB31" i="1"/>
  <c r="Y28" i="1"/>
  <c r="Y3" i="1" s="1"/>
  <c r="AH31" i="1"/>
  <c r="AH6" i="1" s="1"/>
  <c r="Y30" i="1"/>
  <c r="Y5" i="1" s="1"/>
  <c r="AN30" i="1"/>
  <c r="AH29" i="1"/>
  <c r="AH4" i="1" s="1"/>
  <c r="Y31" i="1"/>
  <c r="Y27" i="1"/>
  <c r="Y2" i="1" s="1"/>
  <c r="AB27" i="1"/>
  <c r="AB2" i="1" s="1"/>
  <c r="AB30" i="1"/>
  <c r="AB5" i="1" s="1"/>
  <c r="AK31" i="1"/>
  <c r="AN31" i="1"/>
  <c r="AN6" i="1" s="1"/>
  <c r="BA18" i="1"/>
  <c r="Y43" i="1"/>
  <c r="S14" i="1"/>
  <c r="BA14" i="1" s="1"/>
  <c r="S15" i="1"/>
  <c r="BA15" i="1" s="1"/>
  <c r="S13" i="1"/>
  <c r="BA13" i="1" s="1"/>
  <c r="S12" i="1"/>
  <c r="BA12" i="1" s="1"/>
  <c r="AE27" i="1"/>
  <c r="AE31" i="1"/>
  <c r="AE6" i="1" s="1"/>
  <c r="BA34" i="1"/>
  <c r="BA19" i="1"/>
  <c r="V28" i="1"/>
  <c r="AE30" i="1"/>
  <c r="AE5" i="1" s="1"/>
  <c r="AH16" i="1"/>
  <c r="Y16" i="1"/>
  <c r="AQ16" i="1"/>
  <c r="BA42" i="1"/>
  <c r="BA23" i="1"/>
  <c r="V29" i="1"/>
  <c r="V4" i="1" s="1"/>
  <c r="AE29" i="1"/>
  <c r="AE4" i="1" s="1"/>
  <c r="V43" i="1"/>
  <c r="BA41" i="1"/>
  <c r="V30" i="1"/>
  <c r="V5" i="1" s="1"/>
  <c r="AE28" i="1"/>
  <c r="AE3" i="1" s="1"/>
  <c r="AE16" i="1"/>
  <c r="BA40" i="1"/>
  <c r="BA22" i="1"/>
  <c r="BA36" i="1"/>
  <c r="V31" i="1"/>
  <c r="AN16" i="1"/>
  <c r="AT16" i="1"/>
  <c r="AK16" i="1"/>
  <c r="S20" i="1"/>
  <c r="AT20" i="1"/>
  <c r="AN20" i="1"/>
  <c r="AK20" i="1"/>
  <c r="AH20" i="1"/>
  <c r="AZ20" i="1"/>
  <c r="V20" i="1"/>
  <c r="AQ20" i="1"/>
  <c r="AW20" i="1"/>
  <c r="Y20" i="1"/>
  <c r="AB37" i="1"/>
  <c r="AQ5" i="1"/>
  <c r="S28" i="1"/>
  <c r="S27" i="1"/>
  <c r="S29" i="1"/>
  <c r="AN3" i="1"/>
  <c r="AW6" i="1"/>
  <c r="S31" i="1"/>
  <c r="V25" i="1"/>
  <c r="AW37" i="1"/>
  <c r="AN37" i="1"/>
  <c r="AE43" i="1"/>
  <c r="AK37" i="1"/>
  <c r="AQ37" i="1"/>
  <c r="AT37" i="1"/>
  <c r="AB25" i="1"/>
  <c r="AE37" i="1"/>
  <c r="AH37" i="1"/>
  <c r="AZ37" i="1"/>
  <c r="S43" i="1"/>
  <c r="Y25" i="1"/>
  <c r="S25" i="1"/>
  <c r="R13" i="1"/>
  <c r="AA4" i="1"/>
  <c r="AV3" i="1"/>
  <c r="AM4" i="1"/>
  <c r="AG3" i="1"/>
  <c r="AA2" i="1"/>
  <c r="AY2" i="1"/>
  <c r="X2" i="1"/>
  <c r="AJ2" i="1"/>
  <c r="AS2" i="1"/>
  <c r="AV2" i="1"/>
  <c r="U2" i="1"/>
  <c r="AP2" i="1"/>
  <c r="AD32" i="1" l="1"/>
  <c r="AD2" i="1"/>
  <c r="U32" i="1"/>
  <c r="BA43" i="1"/>
  <c r="AH32" i="1"/>
  <c r="AB32" i="1"/>
  <c r="BA25" i="1"/>
  <c r="BA31" i="1"/>
  <c r="BD6" i="1" s="1"/>
  <c r="BA20" i="1"/>
  <c r="AZ32" i="1"/>
  <c r="AW32" i="1"/>
  <c r="BA37" i="1"/>
  <c r="AN32" i="1"/>
  <c r="BA28" i="1"/>
  <c r="BC3" i="1" s="1"/>
  <c r="BA30" i="1"/>
  <c r="AN5" i="1"/>
  <c r="BB5" i="1" s="1"/>
  <c r="BA27" i="1"/>
  <c r="BC2" i="1" s="1"/>
  <c r="Y32" i="1"/>
  <c r="AT32" i="1"/>
  <c r="AQ32" i="1"/>
  <c r="AH2" i="1"/>
  <c r="AW2" i="1"/>
  <c r="BA29" i="1"/>
  <c r="BD4" i="1" s="1"/>
  <c r="AK32" i="1"/>
  <c r="AB6" i="1"/>
  <c r="S3" i="1"/>
  <c r="AH3" i="1"/>
  <c r="R14" i="1"/>
  <c r="AT3" i="1"/>
  <c r="AT2" i="1"/>
  <c r="AE32" i="1"/>
  <c r="AQ4" i="1"/>
  <c r="V32" i="1"/>
  <c r="AK3" i="1"/>
  <c r="AQ6" i="1"/>
  <c r="V3" i="1"/>
  <c r="AW4" i="1"/>
  <c r="AE2" i="1"/>
  <c r="AK6" i="1"/>
  <c r="AT4" i="1"/>
  <c r="AQ2" i="1"/>
  <c r="Y6" i="1"/>
  <c r="AQ3" i="1"/>
  <c r="S4" i="1"/>
  <c r="B11" i="4" s="1"/>
  <c r="V6" i="1"/>
  <c r="S6" i="1"/>
  <c r="AZ2" i="1"/>
  <c r="S2" i="1"/>
  <c r="S32" i="1"/>
  <c r="R31" i="1"/>
  <c r="R15" i="1"/>
  <c r="R30" i="1"/>
  <c r="R5" i="1" s="1"/>
  <c r="R27" i="1"/>
  <c r="R28" i="1"/>
  <c r="R29" i="1"/>
  <c r="R18" i="1"/>
  <c r="R20" i="1" s="1"/>
  <c r="R12" i="1"/>
  <c r="AW3" i="1"/>
  <c r="AB3" i="1"/>
  <c r="V2" i="1"/>
  <c r="S16" i="1"/>
  <c r="R38" i="1"/>
  <c r="R26" i="1"/>
  <c r="R44" i="1"/>
  <c r="R42" i="1" s="1"/>
  <c r="R23" i="1" l="1"/>
  <c r="R24" i="1"/>
  <c r="R6" i="1" s="1"/>
  <c r="C11" i="4"/>
  <c r="C12" i="4" s="1"/>
  <c r="B12" i="4"/>
  <c r="BC6" i="1"/>
  <c r="BC4" i="1"/>
  <c r="BA32" i="1"/>
  <c r="BC5" i="1"/>
  <c r="BD5" i="1"/>
  <c r="BD3" i="1"/>
  <c r="BD2" i="1"/>
  <c r="BA16" i="1"/>
  <c r="BB6" i="1"/>
  <c r="BB4" i="1"/>
  <c r="BB2" i="1"/>
  <c r="BB3" i="1"/>
  <c r="R32" i="1"/>
  <c r="R35" i="1"/>
  <c r="R36" i="1"/>
  <c r="R41" i="1"/>
  <c r="R34" i="1"/>
  <c r="R40" i="1"/>
  <c r="R16" i="1"/>
  <c r="R25" i="1" l="1"/>
  <c r="R3" i="1"/>
  <c r="BE5" i="1"/>
  <c r="B17" i="4" s="1"/>
  <c r="G17" i="4" s="1"/>
  <c r="I17" i="4" s="1"/>
  <c r="G11" i="4"/>
  <c r="I11" i="4" s="1"/>
  <c r="G12" i="4"/>
  <c r="I13" i="4" s="1"/>
  <c r="BE4" i="1"/>
  <c r="BE3" i="1"/>
  <c r="F7" i="4" s="1"/>
  <c r="H7" i="4" s="1"/>
  <c r="BE6" i="1"/>
  <c r="E21" i="4" s="1"/>
  <c r="F21" i="4" s="1"/>
  <c r="BE2" i="1"/>
  <c r="B4" i="4" s="1"/>
  <c r="R4" i="1"/>
  <c r="R43" i="1"/>
  <c r="R37" i="1"/>
  <c r="R2" i="1"/>
  <c r="B8" i="4" l="1"/>
  <c r="F8" i="4" s="1"/>
  <c r="H8" i="4" s="1"/>
  <c r="B18" i="4"/>
  <c r="G18" i="4" s="1"/>
  <c r="I18" i="4" s="1"/>
</calcChain>
</file>

<file path=xl/sharedStrings.xml><?xml version="1.0" encoding="utf-8"?>
<sst xmlns="http://schemas.openxmlformats.org/spreadsheetml/2006/main" count="2199" uniqueCount="198">
  <si>
    <t>úvazek</t>
  </si>
  <si>
    <t>Technical expert</t>
  </si>
  <si>
    <t>Financial expert</t>
  </si>
  <si>
    <t>Administrator</t>
  </si>
  <si>
    <t>DPP</t>
  </si>
  <si>
    <t>DPČ</t>
  </si>
  <si>
    <t>SHAPES</t>
  </si>
  <si>
    <t>NTMC</t>
  </si>
  <si>
    <t>PROFID</t>
  </si>
  <si>
    <t>NICELIFE</t>
  </si>
  <si>
    <t>MD/RD</t>
  </si>
  <si>
    <t>niCE-life</t>
  </si>
  <si>
    <t>zaměstnanec FNOL</t>
  </si>
  <si>
    <t>externí</t>
  </si>
  <si>
    <t>12/12</t>
  </si>
  <si>
    <t>11/4</t>
  </si>
  <si>
    <t>11/5</t>
  </si>
  <si>
    <t>plat</t>
  </si>
  <si>
    <t>SAZBY</t>
  </si>
  <si>
    <t>od 01.01.2020</t>
  </si>
  <si>
    <t>od 01.04.2020</t>
  </si>
  <si>
    <t>od 01.05.2020</t>
  </si>
  <si>
    <t>500,-/hod.</t>
  </si>
  <si>
    <t>469,-/hod.</t>
  </si>
  <si>
    <t>350,-/hod.</t>
  </si>
  <si>
    <t>Projekty NTMC - přehled</t>
  </si>
  <si>
    <t>PROJEKT (pracoviště)</t>
  </si>
  <si>
    <t>DOVOLENÁ</t>
  </si>
  <si>
    <t>hodiny</t>
  </si>
  <si>
    <t>TAČR E</t>
  </si>
  <si>
    <t>TAČR P</t>
  </si>
  <si>
    <t>od 01.01.2021</t>
  </si>
  <si>
    <t>COVID</t>
  </si>
  <si>
    <t>400,-/hod.</t>
  </si>
  <si>
    <t>od 01.11.2020</t>
  </si>
  <si>
    <t>500,-/hod.
(300,-/hod. - student)</t>
  </si>
  <si>
    <t>∑ celkem</t>
  </si>
  <si>
    <t>Platové zařazení/změny</t>
  </si>
  <si>
    <t>Platí od</t>
  </si>
  <si>
    <t>Platí do</t>
  </si>
  <si>
    <t>Třída/stupeň</t>
  </si>
  <si>
    <t>Tarif</t>
  </si>
  <si>
    <t>Osobko</t>
  </si>
  <si>
    <t>Celkem</t>
  </si>
  <si>
    <t>Mzdy celkem</t>
  </si>
  <si>
    <t>Odvody</t>
  </si>
  <si>
    <t>Náklady celkem</t>
  </si>
  <si>
    <t>rok 2020</t>
  </si>
  <si>
    <t>12/6</t>
  </si>
  <si>
    <t>12/5</t>
  </si>
  <si>
    <t>HPP</t>
  </si>
  <si>
    <t>Jméno, příjmení</t>
  </si>
  <si>
    <t>Původní úvazek ve FNOL</t>
  </si>
  <si>
    <t>Forma PP na projektu</t>
  </si>
  <si>
    <t xml:space="preserve"> Datum zahájení činnosti</t>
  </si>
  <si>
    <t>Poznámka</t>
  </si>
  <si>
    <t>Pracovní zařazení FNOL/projekty</t>
  </si>
  <si>
    <t>2.15.01 Výzkumný a vývojový pracovník</t>
  </si>
  <si>
    <t>1.01.12 Koordinační,projektový a programový pracovník</t>
  </si>
  <si>
    <t>Odborný pracovník projektu - Technical expert</t>
  </si>
  <si>
    <t>Pozice v projektu</t>
  </si>
  <si>
    <t>student</t>
  </si>
  <si>
    <t>Gütter Zdeněk, Ing., CSc.</t>
  </si>
  <si>
    <t>Chudobová Jana , Mgr.</t>
  </si>
  <si>
    <t>Kula David, Ing., Ph.D., MBA</t>
  </si>
  <si>
    <t xml:space="preserve">Norbertová Tereza, Ing. </t>
  </si>
  <si>
    <t>Stanke Ladislav, RNDr. et RNDr., Ph.D.</t>
  </si>
  <si>
    <t>Straková Eva, Ing.</t>
  </si>
  <si>
    <t xml:space="preserve">Štýbnar Michal, Mgr. </t>
  </si>
  <si>
    <t>Čelechovský  Radek, Mgr., Ph.D.</t>
  </si>
  <si>
    <t>Jančíková Lenka</t>
  </si>
  <si>
    <t xml:space="preserve">Jedličková Martina </t>
  </si>
  <si>
    <t xml:space="preserve">Lazárová Marie, MUDr. </t>
  </si>
  <si>
    <t>Mazalová Romana, PhDr., Ph.D.</t>
  </si>
  <si>
    <t xml:space="preserve">Pecha Marek </t>
  </si>
  <si>
    <t xml:space="preserve">Rygol Lukáš, Ing. </t>
  </si>
  <si>
    <t xml:space="preserve">Škoda David, Ing. </t>
  </si>
  <si>
    <t xml:space="preserve">Doleček Zdislav, Mgr. </t>
  </si>
  <si>
    <t xml:space="preserve">Foks Roman, Ing. </t>
  </si>
  <si>
    <t xml:space="preserve">Knápek Martin, Ing. </t>
  </si>
  <si>
    <t xml:space="preserve">Procházková Sabina, Mgr. </t>
  </si>
  <si>
    <t>Staníková Monika, Ing.</t>
  </si>
  <si>
    <t xml:space="preserve">Hálek Jan, MUDr. </t>
  </si>
  <si>
    <t>Kalábová Hana, MUDr., Ph.D.</t>
  </si>
  <si>
    <t>Marečková Marie, PhDr., Ph.D.</t>
  </si>
  <si>
    <t>Mikešová Marcela</t>
  </si>
  <si>
    <t>Rellová Jana, DiS.</t>
  </si>
  <si>
    <t xml:space="preserve">Struk Petr, MUDr. </t>
  </si>
  <si>
    <t xml:space="preserve">Tichá Kateřina,  Mgr. </t>
  </si>
  <si>
    <t xml:space="preserve">Tomčíková Zuzana, Mgr. </t>
  </si>
  <si>
    <t xml:space="preserve">Wita Martin, MUDr. </t>
  </si>
  <si>
    <t>Král Jakub, Ing.</t>
  </si>
  <si>
    <t>11/8</t>
  </si>
  <si>
    <t>Zástup za Ing. Strakovou</t>
  </si>
  <si>
    <t xml:space="preserve"> Datum ukončení činnosti</t>
  </si>
  <si>
    <t>Odborný pracovník projektu - Technický expert</t>
  </si>
  <si>
    <t>Odborný pracovník projektu - Zdravotní sestra</t>
  </si>
  <si>
    <t>Odborný pracovník projektu - Lékař</t>
  </si>
  <si>
    <t>Odborný pracovník projektu - Psycholog</t>
  </si>
  <si>
    <t>Odborný pracovník projektu - IT specialista</t>
  </si>
  <si>
    <t>Odborný pracovník projektu - Biomedicínský specialista</t>
  </si>
  <si>
    <t>Odborný pracovník projektu - Expert na sociální oblast</t>
  </si>
  <si>
    <t>Odborný pracovník projektu - Ekonom</t>
  </si>
  <si>
    <t>Odborný pracovník projektu - Právník</t>
  </si>
  <si>
    <t>Odborný pracovník projektu - Telemedicínský specialista</t>
  </si>
  <si>
    <t>Odborný pracovník projektu - UX specialista</t>
  </si>
  <si>
    <t>Odborný pracovník projektu - Expert na zdravotní gramotnost</t>
  </si>
  <si>
    <t>Odborný pracovník projektu - Sociální pracovnice</t>
  </si>
  <si>
    <t>Přeček Jan, MUDr., Ph.D.</t>
  </si>
  <si>
    <t>∑ 2020</t>
  </si>
  <si>
    <t>FKSP</t>
  </si>
  <si>
    <t>kmen</t>
  </si>
  <si>
    <t>1.11.2019 - 31.10.2023</t>
  </si>
  <si>
    <t>1.7.2019 - 30.6.2022</t>
  </si>
  <si>
    <t>1.1.2020 - 31.12.2024</t>
  </si>
  <si>
    <t>1.4.2020 - 31.12.2022</t>
  </si>
  <si>
    <t>1.10.2020 - 30.9.2022</t>
  </si>
  <si>
    <t>1.1.2021 - 31.12.2022</t>
  </si>
  <si>
    <t>∑ 2021</t>
  </si>
  <si>
    <t>rok 2021</t>
  </si>
  <si>
    <t>Mizera Jan, MUDr.</t>
  </si>
  <si>
    <t>Vališová Zuzana, Mgr.</t>
  </si>
  <si>
    <t>∑ 2022</t>
  </si>
  <si>
    <t>rok 2022</t>
  </si>
  <si>
    <t>11/3</t>
  </si>
  <si>
    <t>rok 2023</t>
  </si>
  <si>
    <t>∑ 2023</t>
  </si>
  <si>
    <t>Projekty NTMC - rozpočty dle žádostí</t>
  </si>
  <si>
    <t>€</t>
  </si>
  <si>
    <t>Rozdíl čerpání</t>
  </si>
  <si>
    <t>Kč</t>
  </si>
  <si>
    <t>žádost</t>
  </si>
  <si>
    <t>01.07.2019 - 30.06.2020</t>
  </si>
  <si>
    <t>1.7.2020 - 31.12.2020</t>
  </si>
  <si>
    <t>1.1.2021 - 30.6.2021</t>
  </si>
  <si>
    <t>1.7.2021 - 31.12.2021</t>
  </si>
  <si>
    <t>1.1.2022 - 30.6.2022</t>
  </si>
  <si>
    <t>Celkem z žádosti</t>
  </si>
  <si>
    <t>Genzor Samuel, MUDr.</t>
  </si>
  <si>
    <t>Hlavinka Antonín, Ing.</t>
  </si>
  <si>
    <t>Miklík David, Ing.</t>
  </si>
  <si>
    <t>Sova Milan, MUDr. Ph.D.</t>
  </si>
  <si>
    <t>Vaněk Petr, DiS.</t>
  </si>
  <si>
    <t>Hrubý Tomáš, Bc.</t>
  </si>
  <si>
    <t>Opavská Irena, Mgr.</t>
  </si>
  <si>
    <t>rok 2024</t>
  </si>
  <si>
    <t>Ptačovský Zdeněk</t>
  </si>
  <si>
    <t>Viktorová, Lucie, Mgr., Ph.D.</t>
  </si>
  <si>
    <t>Žídek, Dobroslav, JUDr.</t>
  </si>
  <si>
    <t>Odborný pracovník projektu - Překladatel</t>
  </si>
  <si>
    <t>Vurst Vítězslav, B.Th.</t>
  </si>
  <si>
    <t>Odborný pracovník projektu - Kaplan</t>
  </si>
  <si>
    <t xml:space="preserve">Chudárková Petra, Mgr. </t>
  </si>
  <si>
    <t>Odborný pracovník projektu - Etik</t>
  </si>
  <si>
    <t>Doleček Zdislav, Mgr.</t>
  </si>
  <si>
    <t>JADECARE</t>
  </si>
  <si>
    <t>Odborný pracovník projektu - klinické studie</t>
  </si>
  <si>
    <t>∑ 2024</t>
  </si>
  <si>
    <t>500,-/hod.
(300,-/hod. - student)
250,-/hod - překlady</t>
  </si>
  <si>
    <t>1.10.2020 - 30.9.2023</t>
  </si>
  <si>
    <t>Celkový počet činností</t>
  </si>
  <si>
    <t>Čísla činností</t>
  </si>
  <si>
    <t xml:space="preserve">Vohralík Tomáš, Ing. </t>
  </si>
  <si>
    <t>Halcin Jakub</t>
  </si>
  <si>
    <t>Banášová Renata, Mgr.</t>
  </si>
  <si>
    <t>Hamerníková Kateřina, Mgr. et Mgr.</t>
  </si>
  <si>
    <t xml:space="preserve">Zbořilová Tichá Kateřina,  Mgr. </t>
  </si>
  <si>
    <t>Mackerle, Adam, doc., Th.D.</t>
  </si>
  <si>
    <t>Flašík, Jakub, MUDr.</t>
  </si>
  <si>
    <t>Žváčková Kamila, MUDr.</t>
  </si>
  <si>
    <t>Vaněk Jakub, MUDr.</t>
  </si>
  <si>
    <t>Odborný pracovník projektu - lékař</t>
  </si>
  <si>
    <t>Bauerová, Alena, Ing.</t>
  </si>
  <si>
    <t>Aiglová, Renáta, MUDr.</t>
  </si>
  <si>
    <t>změna</t>
  </si>
  <si>
    <t>Kolář Martin, Mgr.</t>
  </si>
  <si>
    <t>Havlíček Zdeněk, Ing.</t>
  </si>
  <si>
    <t>Flašík Jakub, MUDr.</t>
  </si>
  <si>
    <t>Zemánková Anežka, MUDr.</t>
  </si>
  <si>
    <t>od 01.01.2022</t>
  </si>
  <si>
    <t>Matějka Filip, Mgr.</t>
  </si>
  <si>
    <t>Merta Čeněk, Ing.</t>
  </si>
  <si>
    <t>Kučera, Petr, MUDr.</t>
  </si>
  <si>
    <t>Bezděková Veronika, MUDr.</t>
  </si>
  <si>
    <t>Bodnár Vojtěch, MUDr.</t>
  </si>
  <si>
    <t>Ševčík Drahomír, Mgr.</t>
  </si>
  <si>
    <t>Galiček Tomáš, Bc., DiS.</t>
  </si>
  <si>
    <t>Odborný pracovník projektu - bratr</t>
  </si>
  <si>
    <t xml:space="preserve">Pluháček František, Doc., RNDr., Ph.D.                     </t>
  </si>
  <si>
    <t>Odborný pracovník projektu - vědecký pracovník</t>
  </si>
  <si>
    <t>Dulajová Jitka, Bc.</t>
  </si>
  <si>
    <t>Kiml Jakub, MUDr.</t>
  </si>
  <si>
    <t>Vykopal Martin, MUDr.</t>
  </si>
  <si>
    <t>Chromcová Eliška, Mgr.</t>
  </si>
  <si>
    <t>11/</t>
  </si>
  <si>
    <t>Project manager</t>
  </si>
  <si>
    <t>konec činnosti, převést jinam</t>
  </si>
  <si>
    <t>NPO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</si>
</sst>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[$-405]mmmm\ yy;@"/>
    <numFmt numFmtId="165" formatCode="0.0"/>
    <numFmt numFmtId="166" formatCode="#,##0\ &quot;Kč&quot;"/>
    <numFmt numFmtId="167" formatCode="#,##0.00\ &quot;Kč&quot;"/>
    <numFmt numFmtId="168" formatCode="[$€-2]\ #,##0.00"/>
  </numFmts>
  <fonts count="1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u/>
      <sz val="14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1"/>
      <color theme="3" tint="0.39997558519241921"/>
      <name val="Calibri"/>
      <family val="2"/>
      <charset val="238"/>
      <scheme val="minor"/>
    </font>
    <font>
      <sz val="11"/>
      <color theme="3" tint="0.39997558519241921"/>
      <name val="Calibri"/>
      <family val="2"/>
      <charset val="238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-0.249977111117893"/>
        <bgColor indexed="64"/>
      </patternFill>
    </fill>
  </fills>
  <borders count="7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2">
    <xf numFmtId="0" fontId="0" fillId="0" borderId="0" xfId="0"/>
    <xf numFmtId="0" fontId="0" fillId="0" borderId="1" xfId="0" applyBorder="1"/>
    <xf numFmtId="0" fontId="1" fillId="0" borderId="0" xfId="0" applyFont="1"/>
    <xf numFmtId="0" fontId="1" fillId="0" borderId="4" xfId="0" applyFont="1" applyBorder="1"/>
    <xf numFmtId="0" fontId="1" fillId="0" borderId="1" xfId="0" applyFont="1" applyBorder="1"/>
    <xf numFmtId="14" fontId="0" fillId="0" borderId="1" xfId="0" applyNumberFormat="1" applyBorder="1"/>
    <xf numFmtId="0" fontId="1" fillId="0" borderId="9" xfId="0" applyFont="1" applyBorder="1"/>
    <xf numFmtId="0" fontId="0" fillId="0" borderId="9" xfId="0" applyBorder="1"/>
    <xf numFmtId="14" fontId="0" fillId="0" borderId="9" xfId="0" applyNumberFormat="1" applyBorder="1"/>
    <xf numFmtId="0" fontId="1" fillId="0" borderId="2" xfId="0" applyFont="1" applyBorder="1"/>
    <xf numFmtId="14" fontId="0" fillId="0" borderId="2" xfId="0" applyNumberFormat="1" applyBorder="1"/>
    <xf numFmtId="0" fontId="3" fillId="0" borderId="1" xfId="0" applyFont="1" applyBorder="1"/>
    <xf numFmtId="2" fontId="2" fillId="0" borderId="1" xfId="0" applyNumberFormat="1" applyFont="1" applyBorder="1"/>
    <xf numFmtId="2" fontId="4" fillId="0" borderId="18" xfId="0" applyNumberFormat="1" applyFont="1" applyBorder="1"/>
    <xf numFmtId="17" fontId="0" fillId="0" borderId="0" xfId="0" applyNumberFormat="1"/>
    <xf numFmtId="3" fontId="0" fillId="0" borderId="4" xfId="0" applyNumberFormat="1" applyBorder="1"/>
    <xf numFmtId="0" fontId="0" fillId="0" borderId="24" xfId="0" applyBorder="1"/>
    <xf numFmtId="0" fontId="0" fillId="0" borderId="25" xfId="0" applyBorder="1"/>
    <xf numFmtId="0" fontId="0" fillId="0" borderId="23" xfId="0" applyBorder="1"/>
    <xf numFmtId="0" fontId="2" fillId="0" borderId="23" xfId="0" applyFont="1" applyBorder="1"/>
    <xf numFmtId="0" fontId="0" fillId="0" borderId="7" xfId="0" applyBorder="1"/>
    <xf numFmtId="0" fontId="0" fillId="0" borderId="17" xfId="0" applyBorder="1"/>
    <xf numFmtId="3" fontId="0" fillId="0" borderId="1" xfId="0" applyNumberFormat="1" applyBorder="1"/>
    <xf numFmtId="3" fontId="1" fillId="0" borderId="17" xfId="0" applyNumberFormat="1" applyFont="1" applyBorder="1"/>
    <xf numFmtId="2" fontId="0" fillId="0" borderId="7" xfId="0" applyNumberFormat="1" applyBorder="1"/>
    <xf numFmtId="2" fontId="4" fillId="0" borderId="8" xfId="0" applyNumberFormat="1" applyFont="1" applyBorder="1"/>
    <xf numFmtId="2" fontId="0" fillId="0" borderId="35" xfId="0" applyNumberFormat="1" applyBorder="1"/>
    <xf numFmtId="2" fontId="4" fillId="0" borderId="7" xfId="0" applyNumberFormat="1" applyFont="1" applyBorder="1"/>
    <xf numFmtId="2" fontId="4" fillId="0" borderId="17" xfId="0" applyNumberFormat="1" applyFont="1" applyBorder="1"/>
    <xf numFmtId="0" fontId="0" fillId="0" borderId="8" xfId="0" applyBorder="1"/>
    <xf numFmtId="0" fontId="0" fillId="0" borderId="18" xfId="0" applyBorder="1"/>
    <xf numFmtId="0" fontId="1" fillId="2" borderId="20" xfId="0" applyFont="1" applyFill="1" applyBorder="1" applyAlignment="1">
      <alignment horizontal="left"/>
    </xf>
    <xf numFmtId="0" fontId="1" fillId="0" borderId="1" xfId="0" applyFont="1" applyBorder="1" applyAlignment="1">
      <alignment horizontal="right"/>
    </xf>
    <xf numFmtId="14" fontId="1" fillId="0" borderId="1" xfId="0" applyNumberFormat="1" applyFont="1" applyBorder="1" applyAlignment="1">
      <alignment horizontal="right"/>
    </xf>
    <xf numFmtId="0" fontId="0" fillId="0" borderId="1" xfId="0" applyBorder="1" applyAlignment="1">
      <alignment horizontal="right"/>
    </xf>
    <xf numFmtId="0" fontId="6" fillId="0" borderId="1" xfId="0" applyFont="1" applyBorder="1" applyAlignment="1">
      <alignment horizontal="right"/>
    </xf>
    <xf numFmtId="0" fontId="7" fillId="0" borderId="0" xfId="0" applyFont="1"/>
    <xf numFmtId="0" fontId="0" fillId="0" borderId="41" xfId="0" applyBorder="1"/>
    <xf numFmtId="0" fontId="1" fillId="2" borderId="42" xfId="0" applyFont="1" applyFill="1" applyBorder="1" applyAlignment="1">
      <alignment horizontal="left"/>
    </xf>
    <xf numFmtId="0" fontId="1" fillId="2" borderId="31" xfId="0" applyFont="1" applyFill="1" applyBorder="1" applyAlignment="1">
      <alignment horizontal="left"/>
    </xf>
    <xf numFmtId="3" fontId="0" fillId="4" borderId="16" xfId="0" applyNumberFormat="1" applyFill="1" applyBorder="1"/>
    <xf numFmtId="3" fontId="0" fillId="4" borderId="17" xfId="0" applyNumberFormat="1" applyFill="1" applyBorder="1"/>
    <xf numFmtId="3" fontId="0" fillId="4" borderId="18" xfId="0" applyNumberFormat="1" applyFill="1" applyBorder="1"/>
    <xf numFmtId="3" fontId="0" fillId="3" borderId="16" xfId="0" applyNumberFormat="1" applyFill="1" applyBorder="1"/>
    <xf numFmtId="3" fontId="0" fillId="3" borderId="17" xfId="0" applyNumberFormat="1" applyFill="1" applyBorder="1"/>
    <xf numFmtId="3" fontId="0" fillId="3" borderId="18" xfId="0" applyNumberFormat="1" applyFill="1" applyBorder="1"/>
    <xf numFmtId="2" fontId="4" fillId="0" borderId="47" xfId="0" applyNumberFormat="1" applyFont="1" applyBorder="1"/>
    <xf numFmtId="2" fontId="4" fillId="0" borderId="0" xfId="0" applyNumberFormat="1" applyFont="1"/>
    <xf numFmtId="2" fontId="4" fillId="0" borderId="27" xfId="0" applyNumberFormat="1" applyFont="1" applyBorder="1"/>
    <xf numFmtId="14" fontId="0" fillId="0" borderId="33" xfId="0" applyNumberFormat="1" applyBorder="1"/>
    <xf numFmtId="2" fontId="4" fillId="0" borderId="32" xfId="0" applyNumberFormat="1" applyFont="1" applyBorder="1"/>
    <xf numFmtId="2" fontId="4" fillId="0" borderId="10" xfId="0" applyNumberFormat="1" applyFont="1" applyBorder="1"/>
    <xf numFmtId="2" fontId="4" fillId="0" borderId="51" xfId="0" applyNumberFormat="1" applyFont="1" applyBorder="1"/>
    <xf numFmtId="0" fontId="1" fillId="4" borderId="8" xfId="0" applyFont="1" applyFill="1" applyBorder="1" applyAlignment="1">
      <alignment horizontal="center" wrapText="1"/>
    </xf>
    <xf numFmtId="0" fontId="1" fillId="4" borderId="10" xfId="0" applyFont="1" applyFill="1" applyBorder="1" applyAlignment="1">
      <alignment horizontal="center" wrapText="1"/>
    </xf>
    <xf numFmtId="0" fontId="1" fillId="4" borderId="51" xfId="0" applyFont="1" applyFill="1" applyBorder="1" applyAlignment="1">
      <alignment horizontal="center" wrapText="1"/>
    </xf>
    <xf numFmtId="0" fontId="1" fillId="3" borderId="8" xfId="0" applyFont="1" applyFill="1" applyBorder="1" applyAlignment="1">
      <alignment horizontal="center" wrapText="1"/>
    </xf>
    <xf numFmtId="0" fontId="1" fillId="3" borderId="10" xfId="0" applyFont="1" applyFill="1" applyBorder="1" applyAlignment="1">
      <alignment horizontal="center" wrapText="1"/>
    </xf>
    <xf numFmtId="0" fontId="1" fillId="3" borderId="51" xfId="0" applyFont="1" applyFill="1" applyBorder="1" applyAlignment="1">
      <alignment horizontal="center" wrapText="1"/>
    </xf>
    <xf numFmtId="0" fontId="1" fillId="2" borderId="54" xfId="0" applyFont="1" applyFill="1" applyBorder="1" applyAlignment="1">
      <alignment horizontal="left"/>
    </xf>
    <xf numFmtId="0" fontId="0" fillId="4" borderId="1" xfId="0" applyFill="1" applyBorder="1"/>
    <xf numFmtId="0" fontId="0" fillId="3" borderId="1" xfId="0" applyFill="1" applyBorder="1"/>
    <xf numFmtId="0" fontId="1" fillId="2" borderId="56" xfId="0" applyFont="1" applyFill="1" applyBorder="1" applyAlignment="1">
      <alignment horizontal="left"/>
    </xf>
    <xf numFmtId="0" fontId="1" fillId="2" borderId="39" xfId="0" applyFont="1" applyFill="1" applyBorder="1" applyAlignment="1">
      <alignment horizontal="left"/>
    </xf>
    <xf numFmtId="0" fontId="1" fillId="2" borderId="57" xfId="0" applyFont="1" applyFill="1" applyBorder="1" applyAlignment="1">
      <alignment horizontal="left"/>
    </xf>
    <xf numFmtId="0" fontId="1" fillId="2" borderId="58" xfId="0" applyFont="1" applyFill="1" applyBorder="1" applyAlignment="1">
      <alignment horizontal="left"/>
    </xf>
    <xf numFmtId="0" fontId="0" fillId="4" borderId="9" xfId="0" applyFill="1" applyBorder="1"/>
    <xf numFmtId="0" fontId="0" fillId="3" borderId="9" xfId="0" applyFill="1" applyBorder="1"/>
    <xf numFmtId="0" fontId="1" fillId="2" borderId="59" xfId="0" applyFont="1" applyFill="1" applyBorder="1" applyAlignment="1">
      <alignment horizontal="center" vertical="center" wrapText="1"/>
    </xf>
    <xf numFmtId="0" fontId="1" fillId="0" borderId="62" xfId="0" applyFont="1" applyBorder="1"/>
    <xf numFmtId="0" fontId="0" fillId="0" borderId="48" xfId="0" applyBorder="1"/>
    <xf numFmtId="0" fontId="0" fillId="0" borderId="53" xfId="0" applyBorder="1"/>
    <xf numFmtId="0" fontId="0" fillId="0" borderId="2" xfId="0" applyBorder="1"/>
    <xf numFmtId="0" fontId="0" fillId="0" borderId="1" xfId="0" applyBorder="1" applyAlignment="1">
      <alignment horizontal="right" wrapText="1"/>
    </xf>
    <xf numFmtId="0" fontId="3" fillId="0" borderId="9" xfId="0" applyFont="1" applyBorder="1"/>
    <xf numFmtId="2" fontId="2" fillId="0" borderId="9" xfId="0" applyNumberFormat="1" applyFont="1" applyBorder="1"/>
    <xf numFmtId="0" fontId="2" fillId="0" borderId="24" xfId="0" applyFont="1" applyBorder="1"/>
    <xf numFmtId="2" fontId="4" fillId="0" borderId="1" xfId="0" applyNumberFormat="1" applyFont="1" applyBorder="1"/>
    <xf numFmtId="2" fontId="4" fillId="0" borderId="9" xfId="0" applyNumberFormat="1" applyFont="1" applyBorder="1"/>
    <xf numFmtId="2" fontId="4" fillId="0" borderId="24" xfId="0" applyNumberFormat="1" applyFont="1" applyBorder="1"/>
    <xf numFmtId="2" fontId="4" fillId="0" borderId="62" xfId="0" applyNumberFormat="1" applyFont="1" applyBorder="1"/>
    <xf numFmtId="2" fontId="4" fillId="0" borderId="63" xfId="0" applyNumberFormat="1" applyFont="1" applyBorder="1"/>
    <xf numFmtId="2" fontId="4" fillId="0" borderId="37" xfId="0" applyNumberFormat="1" applyFont="1" applyBorder="1"/>
    <xf numFmtId="2" fontId="4" fillId="0" borderId="38" xfId="0" applyNumberFormat="1" applyFont="1" applyBorder="1"/>
    <xf numFmtId="14" fontId="0" fillId="0" borderId="62" xfId="0" applyNumberFormat="1" applyBorder="1"/>
    <xf numFmtId="0" fontId="0" fillId="0" borderId="63" xfId="0" applyBorder="1"/>
    <xf numFmtId="0" fontId="1" fillId="0" borderId="15" xfId="0" applyFont="1" applyBorder="1" applyAlignment="1">
      <alignment wrapText="1"/>
    </xf>
    <xf numFmtId="2" fontId="4" fillId="0" borderId="64" xfId="0" applyNumberFormat="1" applyFont="1" applyBorder="1"/>
    <xf numFmtId="0" fontId="0" fillId="4" borderId="31" xfId="0" applyFill="1" applyBorder="1"/>
    <xf numFmtId="0" fontId="0" fillId="4" borderId="43" xfId="0" applyFill="1" applyBorder="1"/>
    <xf numFmtId="0" fontId="0" fillId="4" borderId="42" xfId="0" applyFill="1" applyBorder="1"/>
    <xf numFmtId="0" fontId="0" fillId="4" borderId="4" xfId="0" applyFill="1" applyBorder="1"/>
    <xf numFmtId="0" fontId="0" fillId="3" borderId="42" xfId="0" applyFill="1" applyBorder="1"/>
    <xf numFmtId="0" fontId="0" fillId="3" borderId="4" xfId="0" applyFill="1" applyBorder="1"/>
    <xf numFmtId="0" fontId="0" fillId="3" borderId="31" xfId="0" applyFill="1" applyBorder="1"/>
    <xf numFmtId="0" fontId="0" fillId="3" borderId="43" xfId="0" applyFill="1" applyBorder="1"/>
    <xf numFmtId="165" fontId="0" fillId="0" borderId="20" xfId="0" applyNumberFormat="1" applyBorder="1"/>
    <xf numFmtId="0" fontId="0" fillId="0" borderId="35" xfId="0" applyBorder="1"/>
    <xf numFmtId="3" fontId="0" fillId="0" borderId="2" xfId="0" applyNumberFormat="1" applyBorder="1"/>
    <xf numFmtId="3" fontId="1" fillId="0" borderId="18" xfId="0" applyNumberFormat="1" applyFont="1" applyBorder="1"/>
    <xf numFmtId="164" fontId="1" fillId="4" borderId="13" xfId="0" applyNumberFormat="1" applyFont="1" applyFill="1" applyBorder="1"/>
    <xf numFmtId="164" fontId="1" fillId="4" borderId="14" xfId="0" applyNumberFormat="1" applyFont="1" applyFill="1" applyBorder="1"/>
    <xf numFmtId="164" fontId="1" fillId="4" borderId="15" xfId="0" applyNumberFormat="1" applyFont="1" applyFill="1" applyBorder="1"/>
    <xf numFmtId="3" fontId="1" fillId="0" borderId="38" xfId="0" applyNumberFormat="1" applyFont="1" applyBorder="1"/>
    <xf numFmtId="0" fontId="1" fillId="2" borderId="40" xfId="0" applyFont="1" applyFill="1" applyBorder="1" applyAlignment="1">
      <alignment horizontal="left"/>
    </xf>
    <xf numFmtId="2" fontId="4" fillId="0" borderId="40" xfId="0" applyNumberFormat="1" applyFont="1" applyBorder="1"/>
    <xf numFmtId="3" fontId="1" fillId="0" borderId="24" xfId="0" applyNumberFormat="1" applyFont="1" applyBorder="1"/>
    <xf numFmtId="49" fontId="0" fillId="0" borderId="53" xfId="0" applyNumberFormat="1" applyBorder="1"/>
    <xf numFmtId="3" fontId="0" fillId="0" borderId="9" xfId="0" applyNumberFormat="1" applyBorder="1"/>
    <xf numFmtId="49" fontId="0" fillId="0" borderId="1" xfId="0" applyNumberFormat="1" applyBorder="1"/>
    <xf numFmtId="14" fontId="0" fillId="0" borderId="7" xfId="0" applyNumberFormat="1" applyBorder="1"/>
    <xf numFmtId="49" fontId="0" fillId="0" borderId="64" xfId="0" applyNumberFormat="1" applyBorder="1"/>
    <xf numFmtId="49" fontId="0" fillId="0" borderId="48" xfId="0" applyNumberFormat="1" applyBorder="1"/>
    <xf numFmtId="49" fontId="0" fillId="0" borderId="9" xfId="0" applyNumberFormat="1" applyBorder="1"/>
    <xf numFmtId="3" fontId="0" fillId="0" borderId="62" xfId="0" applyNumberFormat="1" applyBorder="1"/>
    <xf numFmtId="0" fontId="0" fillId="0" borderId="37" xfId="0" applyBorder="1"/>
    <xf numFmtId="0" fontId="1" fillId="0" borderId="14" xfId="0" applyFont="1" applyBorder="1" applyAlignment="1">
      <alignment wrapText="1"/>
    </xf>
    <xf numFmtId="165" fontId="0" fillId="0" borderId="1" xfId="0" applyNumberFormat="1" applyBorder="1"/>
    <xf numFmtId="2" fontId="0" fillId="0" borderId="3" xfId="0" applyNumberFormat="1" applyBorder="1"/>
    <xf numFmtId="0" fontId="1" fillId="2" borderId="61" xfId="0" applyFont="1" applyFill="1" applyBorder="1" applyAlignment="1">
      <alignment horizontal="left"/>
    </xf>
    <xf numFmtId="14" fontId="0" fillId="0" borderId="31" xfId="0" applyNumberFormat="1" applyBorder="1"/>
    <xf numFmtId="0" fontId="1" fillId="2" borderId="65" xfId="0" applyFont="1" applyFill="1" applyBorder="1" applyAlignment="1">
      <alignment horizontal="left"/>
    </xf>
    <xf numFmtId="49" fontId="0" fillId="0" borderId="55" xfId="0" applyNumberFormat="1" applyBorder="1"/>
    <xf numFmtId="0" fontId="0" fillId="0" borderId="33" xfId="0" applyBorder="1"/>
    <xf numFmtId="3" fontId="0" fillId="0" borderId="33" xfId="0" applyNumberFormat="1" applyBorder="1"/>
    <xf numFmtId="0" fontId="1" fillId="2" borderId="41" xfId="0" applyFont="1" applyFill="1" applyBorder="1" applyAlignment="1">
      <alignment horizontal="left"/>
    </xf>
    <xf numFmtId="3" fontId="0" fillId="0" borderId="17" xfId="0" applyNumberFormat="1" applyBorder="1"/>
    <xf numFmtId="3" fontId="0" fillId="0" borderId="18" xfId="0" applyNumberFormat="1" applyBorder="1"/>
    <xf numFmtId="165" fontId="0" fillId="0" borderId="41" xfId="0" applyNumberFormat="1" applyBorder="1"/>
    <xf numFmtId="2" fontId="0" fillId="0" borderId="17" xfId="0" applyNumberFormat="1" applyBorder="1"/>
    <xf numFmtId="0" fontId="6" fillId="0" borderId="22" xfId="0" applyFont="1" applyBorder="1" applyAlignment="1">
      <alignment wrapText="1"/>
    </xf>
    <xf numFmtId="0" fontId="5" fillId="0" borderId="4" xfId="0" applyFont="1" applyBorder="1"/>
    <xf numFmtId="14" fontId="0" fillId="0" borderId="4" xfId="0" applyNumberFormat="1" applyBorder="1"/>
    <xf numFmtId="14" fontId="0" fillId="0" borderId="3" xfId="0" applyNumberFormat="1" applyBorder="1"/>
    <xf numFmtId="49" fontId="0" fillId="0" borderId="4" xfId="0" applyNumberFormat="1" applyBorder="1"/>
    <xf numFmtId="3" fontId="1" fillId="0" borderId="16" xfId="0" applyNumberFormat="1" applyFont="1" applyBorder="1"/>
    <xf numFmtId="14" fontId="0" fillId="0" borderId="42" xfId="0" applyNumberFormat="1" applyBorder="1"/>
    <xf numFmtId="3" fontId="1" fillId="0" borderId="28" xfId="0" applyNumberFormat="1" applyFont="1" applyBorder="1"/>
    <xf numFmtId="0" fontId="0" fillId="0" borderId="22" xfId="0" applyBorder="1"/>
    <xf numFmtId="0" fontId="1" fillId="0" borderId="13" xfId="0" applyFont="1" applyBorder="1" applyAlignment="1">
      <alignment horizontal="center" vertical="center" wrapText="1"/>
    </xf>
    <xf numFmtId="2" fontId="0" fillId="0" borderId="14" xfId="0" applyNumberFormat="1" applyBorder="1" applyAlignment="1">
      <alignment wrapText="1"/>
    </xf>
    <xf numFmtId="0" fontId="0" fillId="0" borderId="21" xfId="0" applyBorder="1" applyAlignment="1">
      <alignment wrapText="1"/>
    </xf>
    <xf numFmtId="0" fontId="0" fillId="0" borderId="13" xfId="0" applyBorder="1"/>
    <xf numFmtId="0" fontId="0" fillId="0" borderId="14" xfId="0" applyBorder="1"/>
    <xf numFmtId="3" fontId="0" fillId="0" borderId="14" xfId="0" applyNumberFormat="1" applyBorder="1"/>
    <xf numFmtId="3" fontId="0" fillId="0" borderId="15" xfId="0" applyNumberFormat="1" applyBorder="1"/>
    <xf numFmtId="14" fontId="0" fillId="0" borderId="53" xfId="0" applyNumberFormat="1" applyBorder="1"/>
    <xf numFmtId="0" fontId="1" fillId="4" borderId="13" xfId="0" applyFont="1" applyFill="1" applyBorder="1" applyAlignment="1">
      <alignment horizontal="center" vertical="center" wrapText="1"/>
    </xf>
    <xf numFmtId="0" fontId="1" fillId="4" borderId="14" xfId="0" applyFont="1" applyFill="1" applyBorder="1" applyAlignment="1">
      <alignment horizontal="center" vertical="center" wrapText="1"/>
    </xf>
    <xf numFmtId="0" fontId="1" fillId="4" borderId="15" xfId="0" applyFont="1" applyFill="1" applyBorder="1" applyAlignment="1">
      <alignment horizontal="center" vertical="center" wrapText="1"/>
    </xf>
    <xf numFmtId="0" fontId="1" fillId="2" borderId="59" xfId="0" applyFont="1" applyFill="1" applyBorder="1" applyAlignment="1">
      <alignment vertical="center" wrapText="1"/>
    </xf>
    <xf numFmtId="0" fontId="0" fillId="0" borderId="50" xfId="0" applyBorder="1"/>
    <xf numFmtId="0" fontId="1" fillId="0" borderId="0" xfId="0" applyFont="1" applyAlignment="1">
      <alignment vertical="center" wrapText="1"/>
    </xf>
    <xf numFmtId="0" fontId="0" fillId="0" borderId="34" xfId="0" applyBorder="1"/>
    <xf numFmtId="0" fontId="0" fillId="0" borderId="70" xfId="0" applyBorder="1" applyAlignment="1">
      <alignment wrapText="1"/>
    </xf>
    <xf numFmtId="0" fontId="0" fillId="2" borderId="68" xfId="0" applyFill="1" applyBorder="1" applyAlignment="1">
      <alignment horizontal="left"/>
    </xf>
    <xf numFmtId="0" fontId="0" fillId="0" borderId="45" xfId="0" applyBorder="1" applyAlignment="1">
      <alignment vertical="center" wrapText="1"/>
    </xf>
    <xf numFmtId="0" fontId="0" fillId="0" borderId="50" xfId="0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33" xfId="0" applyBorder="1" applyAlignment="1">
      <alignment horizontal="center" vertical="center"/>
    </xf>
    <xf numFmtId="0" fontId="0" fillId="0" borderId="12" xfId="0" applyBorder="1" applyAlignment="1">
      <alignment vertical="center"/>
    </xf>
    <xf numFmtId="0" fontId="0" fillId="0" borderId="33" xfId="0" applyBorder="1" applyAlignment="1">
      <alignment vertical="center"/>
    </xf>
    <xf numFmtId="0" fontId="6" fillId="0" borderId="12" xfId="0" applyFont="1" applyBorder="1" applyAlignment="1">
      <alignment vertical="center"/>
    </xf>
    <xf numFmtId="0" fontId="6" fillId="0" borderId="33" xfId="0" applyFont="1" applyBorder="1" applyAlignment="1">
      <alignment vertical="center"/>
    </xf>
    <xf numFmtId="0" fontId="6" fillId="0" borderId="50" xfId="0" applyFont="1" applyBorder="1" applyAlignment="1">
      <alignment vertical="center" wrapText="1"/>
    </xf>
    <xf numFmtId="0" fontId="1" fillId="2" borderId="59" xfId="0" applyFont="1" applyFill="1" applyBorder="1" applyAlignment="1">
      <alignment horizontal="center" vertical="center"/>
    </xf>
    <xf numFmtId="0" fontId="1" fillId="2" borderId="72" xfId="0" applyFont="1" applyFill="1" applyBorder="1" applyAlignment="1">
      <alignment horizontal="left"/>
    </xf>
    <xf numFmtId="0" fontId="0" fillId="0" borderId="2" xfId="0" applyBorder="1" applyAlignment="1">
      <alignment vertical="center"/>
    </xf>
    <xf numFmtId="14" fontId="0" fillId="0" borderId="0" xfId="0" applyNumberFormat="1"/>
    <xf numFmtId="0" fontId="0" fillId="0" borderId="0" xfId="0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2" fontId="0" fillId="0" borderId="62" xfId="0" applyNumberFormat="1" applyBorder="1" applyAlignment="1">
      <alignment horizontal="center" vertical="center"/>
    </xf>
    <xf numFmtId="2" fontId="0" fillId="0" borderId="9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2" fontId="6" fillId="0" borderId="4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2" fontId="2" fillId="0" borderId="9" xfId="0" applyNumberFormat="1" applyFont="1" applyBorder="1" applyAlignment="1">
      <alignment horizontal="center" vertical="center"/>
    </xf>
    <xf numFmtId="2" fontId="0" fillId="0" borderId="14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62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2" borderId="68" xfId="0" applyFont="1" applyFill="1" applyBorder="1" applyAlignment="1">
      <alignment horizontal="left"/>
    </xf>
    <xf numFmtId="0" fontId="0" fillId="0" borderId="48" xfId="0" applyBorder="1" applyAlignment="1">
      <alignment vertical="center"/>
    </xf>
    <xf numFmtId="0" fontId="0" fillId="0" borderId="53" xfId="0" applyBorder="1" applyAlignment="1">
      <alignment vertical="center" wrapText="1"/>
    </xf>
    <xf numFmtId="0" fontId="0" fillId="0" borderId="70" xfId="0" applyBorder="1" applyAlignment="1">
      <alignment vertical="center"/>
    </xf>
    <xf numFmtId="2" fontId="0" fillId="0" borderId="14" xfId="0" applyNumberForma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14" fontId="0" fillId="0" borderId="14" xfId="0" applyNumberFormat="1" applyBorder="1"/>
    <xf numFmtId="0" fontId="0" fillId="0" borderId="44" xfId="0" applyBorder="1"/>
    <xf numFmtId="3" fontId="1" fillId="0" borderId="15" xfId="0" applyNumberFormat="1" applyFont="1" applyBorder="1"/>
    <xf numFmtId="0" fontId="1" fillId="2" borderId="44" xfId="0" applyFont="1" applyFill="1" applyBorder="1" applyAlignment="1">
      <alignment horizontal="left"/>
    </xf>
    <xf numFmtId="2" fontId="4" fillId="0" borderId="13" xfId="0" applyNumberFormat="1" applyFont="1" applyBorder="1"/>
    <xf numFmtId="2" fontId="4" fillId="0" borderId="15" xfId="0" applyNumberFormat="1" applyFont="1" applyBorder="1"/>
    <xf numFmtId="0" fontId="1" fillId="2" borderId="26" xfId="0" applyFont="1" applyFill="1" applyBorder="1" applyAlignment="1">
      <alignment horizontal="center" vertical="center"/>
    </xf>
    <xf numFmtId="2" fontId="4" fillId="0" borderId="14" xfId="0" applyNumberFormat="1" applyFont="1" applyBorder="1"/>
    <xf numFmtId="2" fontId="4" fillId="0" borderId="23" xfId="0" applyNumberFormat="1" applyFont="1" applyBorder="1"/>
    <xf numFmtId="2" fontId="0" fillId="0" borderId="33" xfId="0" applyNumberFormat="1" applyBorder="1" applyAlignment="1">
      <alignment horizontal="center" vertical="center"/>
    </xf>
    <xf numFmtId="3" fontId="1" fillId="0" borderId="51" xfId="0" applyNumberFormat="1" applyFont="1" applyBorder="1"/>
    <xf numFmtId="165" fontId="0" fillId="0" borderId="4" xfId="0" applyNumberFormat="1" applyBorder="1"/>
    <xf numFmtId="0" fontId="0" fillId="0" borderId="16" xfId="0" applyBorder="1"/>
    <xf numFmtId="165" fontId="0" fillId="0" borderId="2" xfId="0" applyNumberFormat="1" applyBorder="1"/>
    <xf numFmtId="165" fontId="0" fillId="0" borderId="73" xfId="0" applyNumberFormat="1" applyBorder="1"/>
    <xf numFmtId="0" fontId="0" fillId="0" borderId="74" xfId="0" applyBorder="1" applyAlignment="1">
      <alignment vertical="center" wrapText="1"/>
    </xf>
    <xf numFmtId="0" fontId="0" fillId="0" borderId="53" xfId="0" applyBorder="1" applyAlignment="1">
      <alignment vertical="center"/>
    </xf>
    <xf numFmtId="0" fontId="0" fillId="0" borderId="64" xfId="0" applyBorder="1" applyAlignment="1">
      <alignment vertical="center" wrapText="1"/>
    </xf>
    <xf numFmtId="0" fontId="6" fillId="0" borderId="53" xfId="0" applyFont="1" applyBorder="1" applyAlignment="1">
      <alignment vertical="center" wrapText="1"/>
    </xf>
    <xf numFmtId="0" fontId="0" fillId="0" borderId="74" xfId="0" applyBorder="1" applyAlignment="1">
      <alignment vertical="center"/>
    </xf>
    <xf numFmtId="14" fontId="0" fillId="0" borderId="22" xfId="0" applyNumberFormat="1" applyBorder="1"/>
    <xf numFmtId="14" fontId="0" fillId="0" borderId="23" xfId="0" applyNumberFormat="1" applyBorder="1"/>
    <xf numFmtId="14" fontId="0" fillId="0" borderId="63" xfId="0" applyNumberFormat="1" applyBorder="1"/>
    <xf numFmtId="14" fontId="0" fillId="0" borderId="24" xfId="0" applyNumberFormat="1" applyBorder="1"/>
    <xf numFmtId="14" fontId="0" fillId="0" borderId="25" xfId="0" applyNumberFormat="1" applyBorder="1"/>
    <xf numFmtId="2" fontId="2" fillId="0" borderId="23" xfId="0" applyNumberFormat="1" applyFont="1" applyBorder="1"/>
    <xf numFmtId="2" fontId="2" fillId="0" borderId="24" xfId="0" applyNumberFormat="1" applyFont="1" applyBorder="1"/>
    <xf numFmtId="2" fontId="0" fillId="0" borderId="21" xfId="0" applyNumberFormat="1" applyBorder="1" applyAlignment="1">
      <alignment wrapText="1"/>
    </xf>
    <xf numFmtId="14" fontId="0" fillId="0" borderId="21" xfId="0" applyNumberFormat="1" applyBorder="1"/>
    <xf numFmtId="0" fontId="0" fillId="0" borderId="15" xfId="0" applyBorder="1"/>
    <xf numFmtId="14" fontId="0" fillId="0" borderId="8" xfId="0" applyNumberFormat="1" applyBorder="1"/>
    <xf numFmtId="2" fontId="4" fillId="0" borderId="70" xfId="0" applyNumberFormat="1" applyFont="1" applyBorder="1"/>
    <xf numFmtId="2" fontId="4" fillId="0" borderId="4" xfId="0" applyNumberFormat="1" applyFont="1" applyBorder="1"/>
    <xf numFmtId="2" fontId="4" fillId="0" borderId="16" xfId="0" applyNumberFormat="1" applyFont="1" applyBorder="1"/>
    <xf numFmtId="1" fontId="0" fillId="0" borderId="3" xfId="0" applyNumberFormat="1" applyBorder="1"/>
    <xf numFmtId="1" fontId="0" fillId="0" borderId="7" xfId="0" applyNumberFormat="1" applyBorder="1"/>
    <xf numFmtId="1" fontId="0" fillId="0" borderId="8" xfId="0" applyNumberFormat="1" applyBorder="1"/>
    <xf numFmtId="1" fontId="0" fillId="0" borderId="1" xfId="0" applyNumberFormat="1" applyBorder="1"/>
    <xf numFmtId="1" fontId="0" fillId="0" borderId="4" xfId="0" applyNumberFormat="1" applyBorder="1"/>
    <xf numFmtId="1" fontId="0" fillId="0" borderId="9" xfId="0" applyNumberFormat="1" applyBorder="1"/>
    <xf numFmtId="0" fontId="0" fillId="0" borderId="50" xfId="0" applyBorder="1" applyAlignment="1">
      <alignment vertical="center"/>
    </xf>
    <xf numFmtId="14" fontId="0" fillId="0" borderId="34" xfId="0" applyNumberFormat="1" applyBorder="1"/>
    <xf numFmtId="0" fontId="0" fillId="0" borderId="51" xfId="0" applyBorder="1"/>
    <xf numFmtId="0" fontId="0" fillId="0" borderId="64" xfId="0" applyBorder="1" applyAlignment="1">
      <alignment vertical="center"/>
    </xf>
    <xf numFmtId="0" fontId="1" fillId="2" borderId="59" xfId="0" applyFont="1" applyFill="1" applyBorder="1" applyAlignment="1">
      <alignment horizontal="left"/>
    </xf>
    <xf numFmtId="14" fontId="0" fillId="0" borderId="48" xfId="0" applyNumberFormat="1" applyBorder="1"/>
    <xf numFmtId="0" fontId="0" fillId="0" borderId="4" xfId="0" applyBorder="1"/>
    <xf numFmtId="1" fontId="0" fillId="0" borderId="35" xfId="0" applyNumberFormat="1" applyBorder="1"/>
    <xf numFmtId="1" fontId="0" fillId="0" borderId="2" xfId="0" applyNumberFormat="1" applyBorder="1"/>
    <xf numFmtId="2" fontId="4" fillId="0" borderId="28" xfId="0" applyNumberFormat="1" applyFont="1" applyBorder="1"/>
    <xf numFmtId="2" fontId="4" fillId="0" borderId="50" xfId="0" applyNumberFormat="1" applyFont="1" applyBorder="1"/>
    <xf numFmtId="2" fontId="4" fillId="0" borderId="33" xfId="0" applyNumberFormat="1" applyFont="1" applyBorder="1"/>
    <xf numFmtId="14" fontId="0" fillId="0" borderId="70" xfId="0" applyNumberFormat="1" applyBorder="1"/>
    <xf numFmtId="1" fontId="0" fillId="0" borderId="13" xfId="0" applyNumberFormat="1" applyBorder="1"/>
    <xf numFmtId="1" fontId="0" fillId="0" borderId="14" xfId="0" applyNumberFormat="1" applyBorder="1"/>
    <xf numFmtId="1" fontId="0" fillId="0" borderId="69" xfId="0" applyNumberFormat="1" applyBorder="1"/>
    <xf numFmtId="1" fontId="0" fillId="0" borderId="67" xfId="0" applyNumberFormat="1" applyBorder="1"/>
    <xf numFmtId="2" fontId="4" fillId="0" borderId="76" xfId="0" applyNumberFormat="1" applyFont="1" applyBorder="1"/>
    <xf numFmtId="2" fontId="4" fillId="0" borderId="66" xfId="0" applyNumberFormat="1" applyFont="1" applyBorder="1"/>
    <xf numFmtId="2" fontId="4" fillId="0" borderId="67" xfId="0" applyNumberFormat="1" applyFont="1" applyBorder="1"/>
    <xf numFmtId="2" fontId="4" fillId="0" borderId="69" xfId="0" applyNumberFormat="1" applyFont="1" applyBorder="1"/>
    <xf numFmtId="3" fontId="1" fillId="0" borderId="22" xfId="0" applyNumberFormat="1" applyFont="1" applyBorder="1"/>
    <xf numFmtId="2" fontId="4" fillId="0" borderId="22" xfId="0" applyNumberFormat="1" applyFont="1" applyBorder="1"/>
    <xf numFmtId="2" fontId="4" fillId="0" borderId="3" xfId="0" applyNumberFormat="1" applyFont="1" applyBorder="1"/>
    <xf numFmtId="2" fontId="4" fillId="0" borderId="74" xfId="0" applyNumberFormat="1" applyFont="1" applyBorder="1"/>
    <xf numFmtId="1" fontId="0" fillId="0" borderId="47" xfId="0" applyNumberFormat="1" applyBorder="1"/>
    <xf numFmtId="1" fontId="0" fillId="0" borderId="12" xfId="0" applyNumberFormat="1" applyBorder="1"/>
    <xf numFmtId="1" fontId="0" fillId="0" borderId="32" xfId="0" applyNumberFormat="1" applyBorder="1"/>
    <xf numFmtId="1" fontId="0" fillId="0" borderId="33" xfId="0" applyNumberFormat="1" applyBorder="1"/>
    <xf numFmtId="164" fontId="1" fillId="4" borderId="68" xfId="0" applyNumberFormat="1" applyFont="1" applyFill="1" applyBorder="1"/>
    <xf numFmtId="1" fontId="0" fillId="0" borderId="37" xfId="0" applyNumberFormat="1" applyBorder="1"/>
    <xf numFmtId="1" fontId="0" fillId="0" borderId="62" xfId="0" applyNumberFormat="1" applyBorder="1"/>
    <xf numFmtId="0" fontId="1" fillId="3" borderId="34" xfId="0" applyFont="1" applyFill="1" applyBorder="1" applyAlignment="1">
      <alignment horizontal="center" wrapText="1"/>
    </xf>
    <xf numFmtId="2" fontId="4" fillId="0" borderId="31" xfId="0" applyNumberFormat="1" applyFont="1" applyBorder="1"/>
    <xf numFmtId="2" fontId="4" fillId="0" borderId="46" xfId="0" applyNumberFormat="1" applyFont="1" applyBorder="1"/>
    <xf numFmtId="0" fontId="1" fillId="0" borderId="21" xfId="0" applyFont="1" applyBorder="1" applyAlignment="1">
      <alignment wrapText="1"/>
    </xf>
    <xf numFmtId="2" fontId="4" fillId="0" borderId="43" xfId="0" applyNumberFormat="1" applyFont="1" applyBorder="1"/>
    <xf numFmtId="2" fontId="4" fillId="0" borderId="34" xfId="0" applyNumberFormat="1" applyFont="1" applyBorder="1"/>
    <xf numFmtId="2" fontId="4" fillId="0" borderId="75" xfId="0" applyNumberFormat="1" applyFont="1" applyBorder="1"/>
    <xf numFmtId="2" fontId="4" fillId="0" borderId="21" xfId="0" applyNumberFormat="1" applyFont="1" applyBorder="1"/>
    <xf numFmtId="2" fontId="4" fillId="0" borderId="25" xfId="0" applyNumberFormat="1" applyFont="1" applyBorder="1"/>
    <xf numFmtId="0" fontId="1" fillId="5" borderId="68" xfId="0" applyFont="1" applyFill="1" applyBorder="1" applyAlignment="1">
      <alignment horizontal="center"/>
    </xf>
    <xf numFmtId="1" fontId="3" fillId="5" borderId="68" xfId="0" applyNumberFormat="1" applyFont="1" applyFill="1" applyBorder="1" applyAlignment="1">
      <alignment horizontal="center"/>
    </xf>
    <xf numFmtId="0" fontId="1" fillId="5" borderId="68" xfId="0" applyFont="1" applyFill="1" applyBorder="1" applyAlignment="1">
      <alignment horizontal="center" wrapText="1"/>
    </xf>
    <xf numFmtId="166" fontId="0" fillId="5" borderId="68" xfId="0" applyNumberFormat="1" applyFill="1" applyBorder="1"/>
    <xf numFmtId="166" fontId="0" fillId="3" borderId="52" xfId="0" applyNumberFormat="1" applyFill="1" applyBorder="1"/>
    <xf numFmtId="166" fontId="0" fillId="3" borderId="2" xfId="0" applyNumberFormat="1" applyFill="1" applyBorder="1"/>
    <xf numFmtId="166" fontId="0" fillId="3" borderId="28" xfId="0" applyNumberFormat="1" applyFill="1" applyBorder="1"/>
    <xf numFmtId="166" fontId="0" fillId="3" borderId="29" xfId="0" applyNumberFormat="1" applyFill="1" applyBorder="1"/>
    <xf numFmtId="164" fontId="1" fillId="4" borderId="21" xfId="0" applyNumberFormat="1" applyFont="1" applyFill="1" applyBorder="1"/>
    <xf numFmtId="0" fontId="1" fillId="0" borderId="26" xfId="0" applyFont="1" applyBorder="1" applyAlignment="1">
      <alignment horizontal="center" vertical="center"/>
    </xf>
    <xf numFmtId="0" fontId="1" fillId="2" borderId="42" xfId="0" applyFont="1" applyFill="1" applyBorder="1" applyAlignment="1">
      <alignment horizontal="center" vertical="center"/>
    </xf>
    <xf numFmtId="0" fontId="1" fillId="2" borderId="31" xfId="0" applyFont="1" applyFill="1" applyBorder="1" applyAlignment="1">
      <alignment horizontal="center" vertical="center"/>
    </xf>
    <xf numFmtId="0" fontId="1" fillId="2" borderId="54" xfId="0" applyFont="1" applyFill="1" applyBorder="1" applyAlignment="1">
      <alignment horizontal="center" vertical="center"/>
    </xf>
    <xf numFmtId="0" fontId="1" fillId="2" borderId="43" xfId="0" applyFont="1" applyFill="1" applyBorder="1" applyAlignment="1">
      <alignment horizontal="center" vertical="center"/>
    </xf>
    <xf numFmtId="0" fontId="1" fillId="0" borderId="56" xfId="0" applyFont="1" applyBorder="1" applyAlignment="1">
      <alignment horizontal="center" vertical="center"/>
    </xf>
    <xf numFmtId="0" fontId="1" fillId="0" borderId="39" xfId="0" applyFont="1" applyBorder="1" applyAlignment="1">
      <alignment horizontal="center" vertical="center"/>
    </xf>
    <xf numFmtId="0" fontId="1" fillId="0" borderId="58" xfId="0" applyFont="1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166" fontId="0" fillId="0" borderId="0" xfId="0" applyNumberFormat="1"/>
    <xf numFmtId="2" fontId="0" fillId="0" borderId="16" xfId="0" applyNumberFormat="1" applyBorder="1"/>
    <xf numFmtId="2" fontId="4" fillId="0" borderId="53" xfId="0" applyNumberFormat="1" applyFont="1" applyBorder="1"/>
    <xf numFmtId="2" fontId="4" fillId="0" borderId="20" xfId="0" applyNumberFormat="1" applyFont="1" applyBorder="1"/>
    <xf numFmtId="0" fontId="1" fillId="0" borderId="70" xfId="0" applyFont="1" applyBorder="1" applyAlignment="1">
      <alignment wrapText="1"/>
    </xf>
    <xf numFmtId="0" fontId="1" fillId="0" borderId="13" xfId="0" applyFont="1" applyBorder="1" applyAlignment="1">
      <alignment wrapText="1"/>
    </xf>
    <xf numFmtId="0" fontId="0" fillId="0" borderId="28" xfId="0" applyBorder="1"/>
    <xf numFmtId="165" fontId="0" fillId="0" borderId="28" xfId="0" applyNumberFormat="1" applyBorder="1"/>
    <xf numFmtId="0" fontId="0" fillId="0" borderId="76" xfId="0" applyBorder="1"/>
    <xf numFmtId="166" fontId="0" fillId="3" borderId="33" xfId="0" applyNumberFormat="1" applyFill="1" applyBorder="1"/>
    <xf numFmtId="2" fontId="6" fillId="0" borderId="7" xfId="0" applyNumberFormat="1" applyFont="1" applyBorder="1"/>
    <xf numFmtId="0" fontId="1" fillId="0" borderId="76" xfId="0" applyFont="1" applyBorder="1" applyAlignment="1">
      <alignment wrapText="1"/>
    </xf>
    <xf numFmtId="0" fontId="1" fillId="0" borderId="66" xfId="0" applyFont="1" applyBorder="1" applyAlignment="1">
      <alignment wrapText="1"/>
    </xf>
    <xf numFmtId="0" fontId="1" fillId="0" borderId="67" xfId="0" applyFont="1" applyBorder="1" applyAlignment="1">
      <alignment wrapText="1"/>
    </xf>
    <xf numFmtId="0" fontId="0" fillId="0" borderId="21" xfId="0" applyBorder="1"/>
    <xf numFmtId="0" fontId="0" fillId="0" borderId="70" xfId="0" applyBorder="1"/>
    <xf numFmtId="14" fontId="0" fillId="0" borderId="68" xfId="0" applyNumberFormat="1" applyBorder="1"/>
    <xf numFmtId="0" fontId="0" fillId="0" borderId="66" xfId="0" applyBorder="1" applyAlignment="1">
      <alignment vertical="center"/>
    </xf>
    <xf numFmtId="2" fontId="0" fillId="0" borderId="67" xfId="0" applyNumberFormat="1" applyBorder="1" applyAlignment="1">
      <alignment horizontal="center" vertical="center"/>
    </xf>
    <xf numFmtId="0" fontId="0" fillId="0" borderId="67" xfId="0" applyBorder="1"/>
    <xf numFmtId="0" fontId="0" fillId="0" borderId="67" xfId="0" applyBorder="1" applyAlignment="1">
      <alignment horizontal="center" vertical="center"/>
    </xf>
    <xf numFmtId="14" fontId="0" fillId="0" borderId="67" xfId="0" applyNumberFormat="1" applyBorder="1"/>
    <xf numFmtId="14" fontId="0" fillId="0" borderId="75" xfId="0" applyNumberFormat="1" applyBorder="1"/>
    <xf numFmtId="14" fontId="0" fillId="0" borderId="66" xfId="0" applyNumberFormat="1" applyBorder="1"/>
    <xf numFmtId="14" fontId="0" fillId="0" borderId="59" xfId="0" applyNumberFormat="1" applyBorder="1"/>
    <xf numFmtId="3" fontId="0" fillId="0" borderId="67" xfId="0" applyNumberFormat="1" applyBorder="1"/>
    <xf numFmtId="3" fontId="1" fillId="0" borderId="76" xfId="0" applyNumberFormat="1" applyFont="1" applyBorder="1"/>
    <xf numFmtId="166" fontId="0" fillId="5" borderId="59" xfId="0" applyNumberFormat="1" applyFill="1" applyBorder="1"/>
    <xf numFmtId="14" fontId="0" fillId="0" borderId="13" xfId="0" applyNumberFormat="1" applyBorder="1"/>
    <xf numFmtId="3" fontId="1" fillId="0" borderId="21" xfId="0" applyNumberFormat="1" applyFont="1" applyBorder="1"/>
    <xf numFmtId="0" fontId="0" fillId="0" borderId="66" xfId="0" applyBorder="1"/>
    <xf numFmtId="0" fontId="0" fillId="0" borderId="13" xfId="0" applyBorder="1" applyAlignment="1">
      <alignment vertical="center"/>
    </xf>
    <xf numFmtId="166" fontId="0" fillId="3" borderId="51" xfId="0" applyNumberFormat="1" applyFill="1" applyBorder="1"/>
    <xf numFmtId="0" fontId="1" fillId="0" borderId="33" xfId="0" applyFont="1" applyBorder="1" applyAlignment="1">
      <alignment vertical="center" wrapText="1"/>
    </xf>
    <xf numFmtId="0" fontId="6" fillId="0" borderId="45" xfId="0" applyFont="1" applyBorder="1" applyAlignment="1">
      <alignment vertical="center"/>
    </xf>
    <xf numFmtId="0" fontId="6" fillId="0" borderId="50" xfId="0" applyFont="1" applyBorder="1" applyAlignment="1">
      <alignment vertical="center"/>
    </xf>
    <xf numFmtId="0" fontId="0" fillId="0" borderId="45" xfId="0" applyBorder="1" applyAlignment="1">
      <alignment vertical="center"/>
    </xf>
    <xf numFmtId="0" fontId="9" fillId="2" borderId="58" xfId="0" applyFont="1" applyFill="1" applyBorder="1" applyAlignment="1">
      <alignment horizontal="left"/>
    </xf>
    <xf numFmtId="0" fontId="9" fillId="2" borderId="61" xfId="0" applyFont="1" applyFill="1" applyBorder="1" applyAlignment="1">
      <alignment horizontal="left"/>
    </xf>
    <xf numFmtId="0" fontId="9" fillId="2" borderId="0" xfId="0" applyFont="1" applyFill="1" applyAlignment="1">
      <alignment horizontal="left"/>
    </xf>
    <xf numFmtId="0" fontId="9" fillId="2" borderId="43" xfId="0" applyFont="1" applyFill="1" applyBorder="1" applyAlignment="1">
      <alignment horizontal="left"/>
    </xf>
    <xf numFmtId="0" fontId="9" fillId="2" borderId="65" xfId="0" applyFont="1" applyFill="1" applyBorder="1" applyAlignment="1">
      <alignment horizontal="left"/>
    </xf>
    <xf numFmtId="165" fontId="10" fillId="2" borderId="68" xfId="0" applyNumberFormat="1" applyFont="1" applyFill="1" applyBorder="1"/>
    <xf numFmtId="0" fontId="1" fillId="0" borderId="0" xfId="0" applyFont="1" applyAlignment="1">
      <alignment horizontal="center" vertical="center"/>
    </xf>
    <xf numFmtId="0" fontId="7" fillId="6" borderId="0" xfId="0" applyFont="1" applyFill="1"/>
    <xf numFmtId="0" fontId="2" fillId="0" borderId="0" xfId="0" applyFont="1"/>
    <xf numFmtId="166" fontId="0" fillId="5" borderId="60" xfId="0" applyNumberFormat="1" applyFill="1" applyBorder="1"/>
    <xf numFmtId="2" fontId="0" fillId="6" borderId="7" xfId="0" applyNumberFormat="1" applyFill="1" applyBorder="1"/>
    <xf numFmtId="165" fontId="0" fillId="6" borderId="1" xfId="0" applyNumberFormat="1" applyFill="1" applyBorder="1"/>
    <xf numFmtId="0" fontId="0" fillId="6" borderId="17" xfId="0" applyFill="1" applyBorder="1"/>
    <xf numFmtId="0" fontId="0" fillId="6" borderId="23" xfId="0" applyFill="1" applyBorder="1"/>
    <xf numFmtId="165" fontId="0" fillId="6" borderId="20" xfId="0" applyNumberFormat="1" applyFill="1" applyBorder="1"/>
    <xf numFmtId="1" fontId="0" fillId="6" borderId="13" xfId="0" applyNumberFormat="1" applyFill="1" applyBorder="1"/>
    <xf numFmtId="1" fontId="0" fillId="6" borderId="14" xfId="0" applyNumberFormat="1" applyFill="1" applyBorder="1"/>
    <xf numFmtId="0" fontId="1" fillId="0" borderId="69" xfId="0" applyFont="1" applyBorder="1" applyAlignment="1">
      <alignment horizontal="center" vertical="center" wrapText="1"/>
    </xf>
    <xf numFmtId="0" fontId="0" fillId="2" borderId="59" xfId="0" applyFill="1" applyBorder="1" applyAlignment="1">
      <alignment horizontal="left"/>
    </xf>
    <xf numFmtId="0" fontId="0" fillId="0" borderId="66" xfId="0" applyBorder="1" applyAlignment="1">
      <alignment wrapText="1"/>
    </xf>
    <xf numFmtId="2" fontId="0" fillId="0" borderId="67" xfId="0" applyNumberFormat="1" applyBorder="1" applyAlignment="1">
      <alignment horizontal="center" vertical="center" wrapText="1"/>
    </xf>
    <xf numFmtId="0" fontId="0" fillId="0" borderId="67" xfId="0" applyBorder="1" applyAlignment="1">
      <alignment horizontal="center" vertical="center" wrapText="1"/>
    </xf>
    <xf numFmtId="2" fontId="0" fillId="0" borderId="67" xfId="0" applyNumberFormat="1" applyBorder="1" applyAlignment="1">
      <alignment wrapText="1"/>
    </xf>
    <xf numFmtId="2" fontId="0" fillId="0" borderId="75" xfId="0" applyNumberFormat="1" applyBorder="1" applyAlignment="1">
      <alignment wrapText="1"/>
    </xf>
    <xf numFmtId="0" fontId="0" fillId="0" borderId="76" xfId="0" applyBorder="1" applyAlignment="1">
      <alignment wrapText="1"/>
    </xf>
    <xf numFmtId="0" fontId="1" fillId="0" borderId="1" xfId="0" applyFont="1" applyBorder="1" applyAlignment="1">
      <alignment wrapText="1"/>
    </xf>
    <xf numFmtId="2" fontId="0" fillId="0" borderId="1" xfId="0" applyNumberFormat="1" applyBorder="1" applyAlignment="1">
      <alignment wrapText="1"/>
    </xf>
    <xf numFmtId="0" fontId="1" fillId="0" borderId="4" xfId="0" applyFont="1" applyBorder="1" applyAlignment="1">
      <alignment wrapText="1"/>
    </xf>
    <xf numFmtId="2" fontId="0" fillId="0" borderId="4" xfId="0" applyNumberFormat="1" applyBorder="1" applyAlignment="1">
      <alignment wrapText="1"/>
    </xf>
    <xf numFmtId="0" fontId="1" fillId="0" borderId="9" xfId="0" applyFont="1" applyBorder="1" applyAlignment="1">
      <alignment wrapText="1"/>
    </xf>
    <xf numFmtId="2" fontId="0" fillId="0" borderId="9" xfId="0" applyNumberFormat="1" applyBorder="1" applyAlignment="1">
      <alignment wrapText="1"/>
    </xf>
    <xf numFmtId="0" fontId="0" fillId="0" borderId="22" xfId="0" applyBorder="1" applyAlignment="1">
      <alignment wrapText="1"/>
    </xf>
    <xf numFmtId="0" fontId="0" fillId="0" borderId="23" xfId="0" applyBorder="1" applyAlignment="1">
      <alignment wrapText="1"/>
    </xf>
    <xf numFmtId="0" fontId="0" fillId="0" borderId="24" xfId="0" applyBorder="1" applyAlignment="1">
      <alignment wrapText="1"/>
    </xf>
    <xf numFmtId="0" fontId="0" fillId="0" borderId="69" xfId="0" applyBorder="1"/>
    <xf numFmtId="3" fontId="0" fillId="0" borderId="76" xfId="0" applyNumberFormat="1" applyBorder="1"/>
    <xf numFmtId="14" fontId="0" fillId="0" borderId="35" xfId="0" applyNumberFormat="1" applyBorder="1"/>
    <xf numFmtId="49" fontId="0" fillId="0" borderId="2" xfId="0" applyNumberFormat="1" applyBorder="1"/>
    <xf numFmtId="0" fontId="0" fillId="0" borderId="3" xfId="0" applyBorder="1" applyAlignment="1">
      <alignment wrapText="1"/>
    </xf>
    <xf numFmtId="0" fontId="0" fillId="0" borderId="7" xfId="0" applyBorder="1" applyAlignment="1">
      <alignment wrapText="1"/>
    </xf>
    <xf numFmtId="3" fontId="1" fillId="0" borderId="23" xfId="0" applyNumberFormat="1" applyFont="1" applyBorder="1"/>
    <xf numFmtId="3" fontId="1" fillId="0" borderId="63" xfId="0" applyNumberFormat="1" applyFont="1" applyBorder="1"/>
    <xf numFmtId="2" fontId="0" fillId="0" borderId="53" xfId="0" applyNumberFormat="1" applyBorder="1"/>
    <xf numFmtId="2" fontId="4" fillId="0" borderId="45" xfId="0" applyNumberFormat="1" applyFont="1" applyBorder="1"/>
    <xf numFmtId="0" fontId="9" fillId="2" borderId="60" xfId="0" applyFont="1" applyFill="1" applyBorder="1" applyAlignment="1">
      <alignment horizontal="left"/>
    </xf>
    <xf numFmtId="0" fontId="0" fillId="2" borderId="61" xfId="0" applyFill="1" applyBorder="1" applyAlignment="1">
      <alignment horizontal="left"/>
    </xf>
    <xf numFmtId="0" fontId="0" fillId="6" borderId="7" xfId="0" applyFill="1" applyBorder="1" applyAlignment="1">
      <alignment wrapText="1"/>
    </xf>
    <xf numFmtId="0" fontId="9" fillId="2" borderId="29" xfId="0" applyFont="1" applyFill="1" applyBorder="1" applyAlignment="1">
      <alignment horizontal="left"/>
    </xf>
    <xf numFmtId="1" fontId="0" fillId="6" borderId="76" xfId="0" applyNumberFormat="1" applyFill="1" applyBorder="1"/>
    <xf numFmtId="1" fontId="0" fillId="6" borderId="15" xfId="0" applyNumberFormat="1" applyFill="1" applyBorder="1"/>
    <xf numFmtId="166" fontId="0" fillId="3" borderId="42" xfId="0" applyNumberFormat="1" applyFill="1" applyBorder="1"/>
    <xf numFmtId="166" fontId="0" fillId="3" borderId="4" xfId="0" applyNumberFormat="1" applyFill="1" applyBorder="1"/>
    <xf numFmtId="166" fontId="0" fillId="3" borderId="16" xfId="0" applyNumberFormat="1" applyFill="1" applyBorder="1"/>
    <xf numFmtId="0" fontId="1" fillId="2" borderId="68" xfId="0" applyFont="1" applyFill="1" applyBorder="1" applyAlignment="1">
      <alignment horizontal="center" vertical="center"/>
    </xf>
    <xf numFmtId="167" fontId="0" fillId="0" borderId="68" xfId="0" applyNumberFormat="1" applyBorder="1"/>
    <xf numFmtId="0" fontId="1" fillId="4" borderId="68" xfId="0" applyFont="1" applyFill="1" applyBorder="1" applyAlignment="1">
      <alignment horizontal="center" vertical="center"/>
    </xf>
    <xf numFmtId="0" fontId="1" fillId="0" borderId="68" xfId="0" applyFont="1" applyBorder="1" applyAlignment="1">
      <alignment horizontal="center"/>
    </xf>
    <xf numFmtId="0" fontId="1" fillId="0" borderId="68" xfId="0" applyFont="1" applyBorder="1" applyAlignment="1">
      <alignment horizontal="center" vertical="center"/>
    </xf>
    <xf numFmtId="0" fontId="0" fillId="0" borderId="68" xfId="0" applyBorder="1"/>
    <xf numFmtId="168" fontId="0" fillId="0" borderId="68" xfId="0" applyNumberFormat="1" applyBorder="1"/>
    <xf numFmtId="167" fontId="2" fillId="0" borderId="68" xfId="0" applyNumberFormat="1" applyFont="1" applyBorder="1"/>
    <xf numFmtId="168" fontId="2" fillId="0" borderId="68" xfId="0" applyNumberFormat="1" applyFont="1" applyBorder="1"/>
    <xf numFmtId="167" fontId="0" fillId="0" borderId="0" xfId="0" applyNumberFormat="1"/>
    <xf numFmtId="168" fontId="0" fillId="7" borderId="68" xfId="0" applyNumberFormat="1" applyFill="1" applyBorder="1"/>
    <xf numFmtId="168" fontId="0" fillId="0" borderId="68" xfId="0" applyNumberFormat="1" applyBorder="1" applyAlignment="1">
      <alignment horizontal="right" vertical="center"/>
    </xf>
    <xf numFmtId="0" fontId="1" fillId="8" borderId="0" xfId="0" applyFont="1" applyFill="1" applyAlignment="1">
      <alignment horizontal="center" vertical="center"/>
    </xf>
    <xf numFmtId="167" fontId="0" fillId="7" borderId="68" xfId="0" applyNumberFormat="1" applyFill="1" applyBorder="1"/>
    <xf numFmtId="0" fontId="0" fillId="0" borderId="10" xfId="0" applyBorder="1"/>
    <xf numFmtId="0" fontId="1" fillId="0" borderId="61" xfId="0" applyFont="1" applyBorder="1" applyAlignment="1">
      <alignment horizontal="center" vertical="center"/>
    </xf>
    <xf numFmtId="2" fontId="0" fillId="0" borderId="0" xfId="0" applyNumberFormat="1"/>
    <xf numFmtId="1" fontId="0" fillId="0" borderId="0" xfId="0" applyNumberFormat="1"/>
    <xf numFmtId="1" fontId="0" fillId="4" borderId="0" xfId="0" applyNumberFormat="1" applyFill="1"/>
    <xf numFmtId="1" fontId="0" fillId="8" borderId="0" xfId="0" applyNumberFormat="1" applyFill="1"/>
    <xf numFmtId="0" fontId="1" fillId="2" borderId="68" xfId="0" applyFont="1" applyFill="1" applyBorder="1" applyAlignment="1">
      <alignment vertical="center" wrapText="1"/>
    </xf>
    <xf numFmtId="0" fontId="1" fillId="2" borderId="68" xfId="0" applyFont="1" applyFill="1" applyBorder="1" applyAlignment="1">
      <alignment horizontal="center" vertical="center" wrapText="1"/>
    </xf>
    <xf numFmtId="1" fontId="3" fillId="6" borderId="68" xfId="0" applyNumberFormat="1" applyFont="1" applyFill="1" applyBorder="1" applyAlignment="1">
      <alignment horizontal="center"/>
    </xf>
    <xf numFmtId="0" fontId="1" fillId="2" borderId="29" xfId="0" applyFont="1" applyFill="1" applyBorder="1" applyAlignment="1">
      <alignment horizontal="center" vertical="center"/>
    </xf>
    <xf numFmtId="0" fontId="1" fillId="2" borderId="29" xfId="0" applyFont="1" applyFill="1" applyBorder="1" applyAlignment="1">
      <alignment horizontal="left"/>
    </xf>
    <xf numFmtId="0" fontId="0" fillId="4" borderId="29" xfId="0" applyFill="1" applyBorder="1"/>
    <xf numFmtId="0" fontId="0" fillId="4" borderId="33" xfId="0" applyFill="1" applyBorder="1"/>
    <xf numFmtId="3" fontId="0" fillId="4" borderId="51" xfId="0" applyNumberFormat="1" applyFill="1" applyBorder="1"/>
    <xf numFmtId="0" fontId="0" fillId="3" borderId="29" xfId="0" applyFill="1" applyBorder="1"/>
    <xf numFmtId="0" fontId="0" fillId="3" borderId="33" xfId="0" applyFill="1" applyBorder="1"/>
    <xf numFmtId="3" fontId="0" fillId="3" borderId="51" xfId="0" applyNumberFormat="1" applyFill="1" applyBorder="1"/>
    <xf numFmtId="166" fontId="0" fillId="3" borderId="31" xfId="0" applyNumberFormat="1" applyFill="1" applyBorder="1"/>
    <xf numFmtId="166" fontId="0" fillId="3" borderId="1" xfId="0" applyNumberFormat="1" applyFill="1" applyBorder="1"/>
    <xf numFmtId="166" fontId="0" fillId="3" borderId="17" xfId="0" applyNumberFormat="1" applyFill="1" applyBorder="1"/>
    <xf numFmtId="0" fontId="0" fillId="0" borderId="61" xfId="0" applyBorder="1" applyAlignment="1">
      <alignment horizontal="center" vertical="center"/>
    </xf>
    <xf numFmtId="166" fontId="0" fillId="3" borderId="7" xfId="0" applyNumberFormat="1" applyFill="1" applyBorder="1"/>
    <xf numFmtId="0" fontId="1" fillId="2" borderId="61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1" fillId="2" borderId="61" xfId="0" applyFont="1" applyFill="1" applyBorder="1" applyAlignment="1">
      <alignment horizontal="center" vertical="center"/>
    </xf>
    <xf numFmtId="0" fontId="0" fillId="0" borderId="11" xfId="0" applyBorder="1"/>
    <xf numFmtId="0" fontId="0" fillId="4" borderId="67" xfId="0" applyFill="1" applyBorder="1"/>
    <xf numFmtId="3" fontId="0" fillId="4" borderId="76" xfId="0" applyNumberFormat="1" applyFill="1" applyBorder="1"/>
    <xf numFmtId="0" fontId="0" fillId="4" borderId="8" xfId="0" applyFill="1" applyBorder="1"/>
    <xf numFmtId="0" fontId="0" fillId="4" borderId="69" xfId="0" applyFill="1" applyBorder="1"/>
    <xf numFmtId="0" fontId="0" fillId="4" borderId="7" xfId="0" applyFill="1" applyBorder="1"/>
    <xf numFmtId="0" fontId="0" fillId="3" borderId="69" xfId="0" applyFill="1" applyBorder="1"/>
    <xf numFmtId="0" fontId="0" fillId="3" borderId="67" xfId="0" applyFill="1" applyBorder="1"/>
    <xf numFmtId="3" fontId="0" fillId="3" borderId="76" xfId="0" applyNumberFormat="1" applyFill="1" applyBorder="1"/>
    <xf numFmtId="0" fontId="0" fillId="3" borderId="7" xfId="0" applyFill="1" applyBorder="1"/>
    <xf numFmtId="0" fontId="0" fillId="3" borderId="8" xfId="0" applyFill="1" applyBorder="1"/>
    <xf numFmtId="165" fontId="0" fillId="6" borderId="2" xfId="0" applyNumberFormat="1" applyFill="1" applyBorder="1"/>
    <xf numFmtId="0" fontId="0" fillId="4" borderId="32" xfId="0" applyFill="1" applyBorder="1"/>
    <xf numFmtId="0" fontId="0" fillId="3" borderId="32" xfId="0" applyFill="1" applyBorder="1"/>
    <xf numFmtId="2" fontId="0" fillId="0" borderId="22" xfId="0" applyNumberFormat="1" applyBorder="1" applyAlignment="1">
      <alignment wrapText="1"/>
    </xf>
    <xf numFmtId="2" fontId="0" fillId="0" borderId="23" xfId="0" applyNumberFormat="1" applyBorder="1" applyAlignment="1">
      <alignment wrapText="1"/>
    </xf>
    <xf numFmtId="2" fontId="0" fillId="0" borderId="24" xfId="0" applyNumberFormat="1" applyBorder="1" applyAlignment="1">
      <alignment wrapText="1"/>
    </xf>
    <xf numFmtId="3" fontId="1" fillId="4" borderId="15" xfId="0" applyNumberFormat="1" applyFont="1" applyFill="1" applyBorder="1"/>
    <xf numFmtId="0" fontId="0" fillId="4" borderId="14" xfId="0" applyFill="1" applyBorder="1" applyAlignment="1">
      <alignment horizontal="center" vertical="center"/>
    </xf>
    <xf numFmtId="2" fontId="0" fillId="9" borderId="7" xfId="0" applyNumberFormat="1" applyFill="1" applyBorder="1"/>
    <xf numFmtId="165" fontId="0" fillId="0" borderId="19" xfId="0" applyNumberFormat="1" applyBorder="1"/>
    <xf numFmtId="0" fontId="0" fillId="0" borderId="31" xfId="0" applyBorder="1" applyAlignment="1">
      <alignment wrapText="1"/>
    </xf>
    <xf numFmtId="165" fontId="0" fillId="0" borderId="23" xfId="0" applyNumberFormat="1" applyBorder="1"/>
    <xf numFmtId="2" fontId="0" fillId="9" borderId="53" xfId="0" applyNumberFormat="1" applyFill="1" applyBorder="1"/>
    <xf numFmtId="1" fontId="0" fillId="0" borderId="16" xfId="0" applyNumberFormat="1" applyBorder="1"/>
    <xf numFmtId="1" fontId="0" fillId="0" borderId="17" xfId="0" applyNumberFormat="1" applyBorder="1"/>
    <xf numFmtId="1" fontId="0" fillId="0" borderId="41" xfId="0" applyNumberFormat="1" applyBorder="1"/>
    <xf numFmtId="1" fontId="0" fillId="0" borderId="23" xfId="0" applyNumberFormat="1" applyBorder="1"/>
    <xf numFmtId="1" fontId="0" fillId="6" borderId="23" xfId="0" applyNumberFormat="1" applyFill="1" applyBorder="1"/>
    <xf numFmtId="1" fontId="0" fillId="0" borderId="28" xfId="0" applyNumberFormat="1" applyBorder="1"/>
    <xf numFmtId="1" fontId="0" fillId="6" borderId="17" xfId="0" applyNumberFormat="1" applyFill="1" applyBorder="1"/>
    <xf numFmtId="0" fontId="1" fillId="10" borderId="30" xfId="0" applyFont="1" applyFill="1" applyBorder="1" applyAlignment="1">
      <alignment horizontal="center" vertical="center"/>
    </xf>
    <xf numFmtId="165" fontId="0" fillId="0" borderId="14" xfId="0" applyNumberFormat="1" applyBorder="1"/>
    <xf numFmtId="1" fontId="0" fillId="11" borderId="13" xfId="0" applyNumberFormat="1" applyFill="1" applyBorder="1"/>
    <xf numFmtId="1" fontId="0" fillId="11" borderId="14" xfId="0" applyNumberFormat="1" applyFill="1" applyBorder="1"/>
    <xf numFmtId="2" fontId="4" fillId="11" borderId="21" xfId="0" applyNumberFormat="1" applyFont="1" applyFill="1" applyBorder="1"/>
    <xf numFmtId="2" fontId="0" fillId="11" borderId="7" xfId="0" applyNumberFormat="1" applyFill="1" applyBorder="1"/>
    <xf numFmtId="165" fontId="0" fillId="11" borderId="2" xfId="0" applyNumberFormat="1" applyFill="1" applyBorder="1"/>
    <xf numFmtId="0" fontId="0" fillId="11" borderId="17" xfId="0" applyFill="1" applyBorder="1"/>
    <xf numFmtId="2" fontId="0" fillId="11" borderId="35" xfId="0" applyNumberFormat="1" applyFill="1" applyBorder="1"/>
    <xf numFmtId="2" fontId="4" fillId="11" borderId="7" xfId="0" applyNumberFormat="1" applyFont="1" applyFill="1" applyBorder="1"/>
    <xf numFmtId="2" fontId="4" fillId="11" borderId="1" xfId="0" applyNumberFormat="1" applyFont="1" applyFill="1" applyBorder="1"/>
    <xf numFmtId="2" fontId="4" fillId="11" borderId="17" xfId="0" applyNumberFormat="1" applyFont="1" applyFill="1" applyBorder="1"/>
    <xf numFmtId="2" fontId="6" fillId="9" borderId="7" xfId="0" applyNumberFormat="1" applyFont="1" applyFill="1" applyBorder="1"/>
    <xf numFmtId="2" fontId="0" fillId="8" borderId="7" xfId="0" applyNumberFormat="1" applyFill="1" applyBorder="1"/>
    <xf numFmtId="2" fontId="6" fillId="8" borderId="7" xfId="0" applyNumberFormat="1" applyFont="1" applyFill="1" applyBorder="1"/>
    <xf numFmtId="1" fontId="0" fillId="6" borderId="21" xfId="0" applyNumberFormat="1" applyFill="1" applyBorder="1"/>
    <xf numFmtId="0" fontId="0" fillId="0" borderId="75" xfId="0" applyBorder="1"/>
    <xf numFmtId="165" fontId="0" fillId="11" borderId="1" xfId="0" applyNumberFormat="1" applyFill="1" applyBorder="1"/>
    <xf numFmtId="2" fontId="0" fillId="12" borderId="7" xfId="0" applyNumberFormat="1" applyFill="1" applyBorder="1"/>
    <xf numFmtId="165" fontId="0" fillId="12" borderId="2" xfId="0" applyNumberFormat="1" applyFill="1" applyBorder="1"/>
    <xf numFmtId="0" fontId="0" fillId="12" borderId="17" xfId="0" applyFill="1" applyBorder="1"/>
    <xf numFmtId="0" fontId="0" fillId="11" borderId="7" xfId="0" applyFill="1" applyBorder="1" applyAlignment="1">
      <alignment wrapText="1"/>
    </xf>
    <xf numFmtId="1" fontId="0" fillId="11" borderId="17" xfId="0" applyNumberFormat="1" applyFill="1" applyBorder="1"/>
    <xf numFmtId="0" fontId="0" fillId="11" borderId="23" xfId="0" applyFill="1" applyBorder="1"/>
    <xf numFmtId="165" fontId="0" fillId="11" borderId="20" xfId="0" applyNumberFormat="1" applyFill="1" applyBorder="1"/>
    <xf numFmtId="2" fontId="0" fillId="11" borderId="17" xfId="0" applyNumberFormat="1" applyFill="1" applyBorder="1"/>
    <xf numFmtId="165" fontId="0" fillId="12" borderId="20" xfId="0" applyNumberFormat="1" applyFill="1" applyBorder="1"/>
    <xf numFmtId="1" fontId="0" fillId="12" borderId="17" xfId="0" applyNumberFormat="1" applyFill="1" applyBorder="1"/>
    <xf numFmtId="165" fontId="0" fillId="12" borderId="1" xfId="0" applyNumberFormat="1" applyFill="1" applyBorder="1"/>
    <xf numFmtId="0" fontId="0" fillId="12" borderId="23" xfId="0" applyFill="1" applyBorder="1"/>
    <xf numFmtId="0" fontId="0" fillId="12" borderId="7" xfId="0" applyFill="1" applyBorder="1" applyAlignment="1">
      <alignment wrapText="1"/>
    </xf>
    <xf numFmtId="2" fontId="6" fillId="12" borderId="7" xfId="0" applyNumberFormat="1" applyFont="1" applyFill="1" applyBorder="1"/>
    <xf numFmtId="168" fontId="2" fillId="0" borderId="0" xfId="0" applyNumberFormat="1" applyFont="1"/>
    <xf numFmtId="14" fontId="0" fillId="0" borderId="44" xfId="0" applyNumberFormat="1" applyBorder="1"/>
    <xf numFmtId="0" fontId="6" fillId="0" borderId="1" xfId="0" applyFont="1" applyBorder="1" applyAlignment="1">
      <alignment vertical="center"/>
    </xf>
    <xf numFmtId="0" fontId="1" fillId="2" borderId="49" xfId="0" applyFont="1" applyFill="1" applyBorder="1" applyAlignment="1">
      <alignment horizontal="left"/>
    </xf>
    <xf numFmtId="0" fontId="1" fillId="2" borderId="77" xfId="0" applyFont="1" applyFill="1" applyBorder="1" applyAlignment="1">
      <alignment horizontal="left"/>
    </xf>
    <xf numFmtId="0" fontId="1" fillId="2" borderId="78" xfId="0" applyFont="1" applyFill="1" applyBorder="1" applyAlignment="1">
      <alignment horizontal="left"/>
    </xf>
    <xf numFmtId="2" fontId="4" fillId="0" borderId="78" xfId="0" applyNumberFormat="1" applyFont="1" applyBorder="1"/>
    <xf numFmtId="0" fontId="1" fillId="2" borderId="43" xfId="0" applyFont="1" applyFill="1" applyBorder="1" applyAlignment="1">
      <alignment horizontal="left"/>
    </xf>
    <xf numFmtId="2" fontId="4" fillId="9" borderId="37" xfId="0" applyNumberFormat="1" applyFont="1" applyFill="1" applyBorder="1"/>
    <xf numFmtId="2" fontId="4" fillId="11" borderId="15" xfId="0" applyNumberFormat="1" applyFont="1" applyFill="1" applyBorder="1"/>
    <xf numFmtId="165" fontId="0" fillId="11" borderId="19" xfId="0" applyNumberFormat="1" applyFill="1" applyBorder="1"/>
    <xf numFmtId="2" fontId="0" fillId="11" borderId="28" xfId="0" applyNumberFormat="1" applyFill="1" applyBorder="1"/>
    <xf numFmtId="0" fontId="0" fillId="9" borderId="7" xfId="0" applyFill="1" applyBorder="1" applyAlignment="1">
      <alignment wrapText="1"/>
    </xf>
    <xf numFmtId="0" fontId="0" fillId="0" borderId="7" xfId="0" applyBorder="1" applyAlignment="1">
      <alignment vertical="center"/>
    </xf>
    <xf numFmtId="0" fontId="0" fillId="0" borderId="55" xfId="0" applyBorder="1"/>
    <xf numFmtId="0" fontId="0" fillId="0" borderId="3" xfId="0" applyBorder="1" applyAlignment="1">
      <alignment vertical="center"/>
    </xf>
    <xf numFmtId="0" fontId="0" fillId="0" borderId="7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14" fontId="0" fillId="0" borderId="55" xfId="0" applyNumberFormat="1" applyBorder="1"/>
    <xf numFmtId="2" fontId="4" fillId="11" borderId="8" xfId="0" applyNumberFormat="1" applyFont="1" applyFill="1" applyBorder="1"/>
    <xf numFmtId="2" fontId="4" fillId="11" borderId="9" xfId="0" applyNumberFormat="1" applyFont="1" applyFill="1" applyBorder="1"/>
    <xf numFmtId="2" fontId="4" fillId="11" borderId="18" xfId="0" applyNumberFormat="1" applyFont="1" applyFill="1" applyBorder="1"/>
    <xf numFmtId="2" fontId="0" fillId="11" borderId="3" xfId="0" applyNumberFormat="1" applyFill="1" applyBorder="1"/>
    <xf numFmtId="165" fontId="0" fillId="11" borderId="4" xfId="0" applyNumberFormat="1" applyFill="1" applyBorder="1"/>
    <xf numFmtId="1" fontId="0" fillId="11" borderId="16" xfId="0" applyNumberFormat="1" applyFill="1" applyBorder="1"/>
    <xf numFmtId="14" fontId="0" fillId="0" borderId="69" xfId="0" applyNumberFormat="1" applyBorder="1"/>
    <xf numFmtId="49" fontId="0" fillId="0" borderId="66" xfId="0" applyNumberFormat="1" applyBorder="1"/>
    <xf numFmtId="1" fontId="0" fillId="6" borderId="28" xfId="0" applyNumberFormat="1" applyFill="1" applyBorder="1"/>
    <xf numFmtId="1" fontId="0" fillId="0" borderId="25" xfId="0" applyNumberFormat="1" applyBorder="1"/>
    <xf numFmtId="1" fontId="0" fillId="12" borderId="28" xfId="0" applyNumberFormat="1" applyFill="1" applyBorder="1"/>
    <xf numFmtId="0" fontId="1" fillId="6" borderId="39" xfId="0" applyFont="1" applyFill="1" applyBorder="1" applyAlignment="1">
      <alignment horizontal="center" vertical="center"/>
    </xf>
    <xf numFmtId="0" fontId="1" fillId="6" borderId="31" xfId="0" applyFont="1" applyFill="1" applyBorder="1" applyAlignment="1">
      <alignment horizontal="left"/>
    </xf>
    <xf numFmtId="0" fontId="0" fillId="0" borderId="69" xfId="0" applyBorder="1" applyAlignment="1">
      <alignment wrapText="1"/>
    </xf>
    <xf numFmtId="165" fontId="0" fillId="0" borderId="67" xfId="0" applyNumberFormat="1" applyBorder="1"/>
    <xf numFmtId="1" fontId="0" fillId="0" borderId="76" xfId="0" applyNumberFormat="1" applyBorder="1"/>
    <xf numFmtId="0" fontId="1" fillId="6" borderId="39" xfId="0" applyFont="1" applyFill="1" applyBorder="1" applyAlignment="1">
      <alignment horizontal="left"/>
    </xf>
    <xf numFmtId="2" fontId="0" fillId="6" borderId="35" xfId="0" applyNumberFormat="1" applyFill="1" applyBorder="1"/>
    <xf numFmtId="1" fontId="0" fillId="6" borderId="25" xfId="0" applyNumberFormat="1" applyFill="1" applyBorder="1"/>
    <xf numFmtId="2" fontId="0" fillId="0" borderId="69" xfId="0" applyNumberFormat="1" applyBorder="1"/>
    <xf numFmtId="1" fontId="0" fillId="6" borderId="69" xfId="0" applyNumberFormat="1" applyFill="1" applyBorder="1"/>
    <xf numFmtId="1" fontId="0" fillId="6" borderId="67" xfId="0" applyNumberFormat="1" applyFill="1" applyBorder="1"/>
    <xf numFmtId="0" fontId="1" fillId="8" borderId="30" xfId="0" applyFont="1" applyFill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71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71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164" fontId="1" fillId="4" borderId="30" xfId="0" applyNumberFormat="1" applyFont="1" applyFill="1" applyBorder="1" applyAlignment="1">
      <alignment horizontal="center"/>
    </xf>
    <xf numFmtId="164" fontId="1" fillId="4" borderId="44" xfId="0" applyNumberFormat="1" applyFont="1" applyFill="1" applyBorder="1" applyAlignment="1">
      <alignment horizontal="center"/>
    </xf>
    <xf numFmtId="164" fontId="1" fillId="4" borderId="36" xfId="0" applyNumberFormat="1" applyFont="1" applyFill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2" borderId="59" xfId="0" applyFont="1" applyFill="1" applyBorder="1" applyAlignment="1">
      <alignment horizontal="center" vertical="center" wrapText="1"/>
    </xf>
    <xf numFmtId="0" fontId="1" fillId="2" borderId="6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1" fontId="3" fillId="4" borderId="52" xfId="0" applyNumberFormat="1" applyFont="1" applyFill="1" applyBorder="1" applyAlignment="1">
      <alignment horizontal="center"/>
    </xf>
    <xf numFmtId="1" fontId="3" fillId="4" borderId="19" xfId="0" applyNumberFormat="1" applyFont="1" applyFill="1" applyBorder="1" applyAlignment="1">
      <alignment horizontal="center"/>
    </xf>
    <xf numFmtId="1" fontId="1" fillId="4" borderId="49" xfId="0" applyNumberFormat="1" applyFont="1" applyFill="1" applyBorder="1" applyAlignment="1">
      <alignment horizontal="center"/>
    </xf>
    <xf numFmtId="0" fontId="1" fillId="4" borderId="26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1" fillId="4" borderId="29" xfId="0" applyFont="1" applyFill="1" applyBorder="1" applyAlignment="1">
      <alignment horizontal="center"/>
    </xf>
    <xf numFmtId="0" fontId="1" fillId="4" borderId="10" xfId="0" applyFont="1" applyFill="1" applyBorder="1" applyAlignment="1">
      <alignment horizontal="center"/>
    </xf>
    <xf numFmtId="0" fontId="1" fillId="4" borderId="11" xfId="0" applyFont="1" applyFill="1" applyBorder="1" applyAlignment="1">
      <alignment horizontal="center"/>
    </xf>
    <xf numFmtId="1" fontId="3" fillId="4" borderId="31" xfId="0" applyNumberFormat="1" applyFont="1" applyFill="1" applyBorder="1" applyAlignment="1">
      <alignment horizontal="center"/>
    </xf>
    <xf numFmtId="1" fontId="3" fillId="4" borderId="20" xfId="0" applyNumberFormat="1" applyFont="1" applyFill="1" applyBorder="1" applyAlignment="1">
      <alignment horizontal="center"/>
    </xf>
    <xf numFmtId="1" fontId="1" fillId="4" borderId="41" xfId="0" applyNumberFormat="1" applyFont="1" applyFill="1" applyBorder="1" applyAlignment="1">
      <alignment horizontal="center"/>
    </xf>
    <xf numFmtId="1" fontId="3" fillId="3" borderId="31" xfId="0" applyNumberFormat="1" applyFont="1" applyFill="1" applyBorder="1" applyAlignment="1">
      <alignment horizontal="center"/>
    </xf>
    <xf numFmtId="1" fontId="3" fillId="3" borderId="20" xfId="0" applyNumberFormat="1" applyFont="1" applyFill="1" applyBorder="1" applyAlignment="1">
      <alignment horizontal="center"/>
    </xf>
    <xf numFmtId="1" fontId="1" fillId="3" borderId="20" xfId="0" applyNumberFormat="1" applyFont="1" applyFill="1" applyBorder="1" applyAlignment="1">
      <alignment horizontal="center"/>
    </xf>
    <xf numFmtId="164" fontId="1" fillId="4" borderId="26" xfId="0" applyNumberFormat="1" applyFont="1" applyFill="1" applyBorder="1" applyAlignment="1">
      <alignment horizontal="center"/>
    </xf>
    <xf numFmtId="164" fontId="1" fillId="4" borderId="5" xfId="0" applyNumberFormat="1" applyFont="1" applyFill="1" applyBorder="1" applyAlignment="1">
      <alignment horizontal="center"/>
    </xf>
    <xf numFmtId="164" fontId="1" fillId="4" borderId="6" xfId="0" applyNumberFormat="1" applyFont="1" applyFill="1" applyBorder="1" applyAlignment="1">
      <alignment horizontal="center"/>
    </xf>
    <xf numFmtId="1" fontId="1" fillId="3" borderId="41" xfId="0" applyNumberFormat="1" applyFont="1" applyFill="1" applyBorder="1" applyAlignment="1">
      <alignment horizontal="center"/>
    </xf>
    <xf numFmtId="0" fontId="1" fillId="0" borderId="59" xfId="0" applyFont="1" applyBorder="1" applyAlignment="1">
      <alignment horizontal="center" vertical="center"/>
    </xf>
    <xf numFmtId="0" fontId="1" fillId="0" borderId="60" xfId="0" applyFont="1" applyBorder="1" applyAlignment="1">
      <alignment horizontal="center" vertical="center"/>
    </xf>
    <xf numFmtId="0" fontId="1" fillId="0" borderId="61" xfId="0" applyFont="1" applyBorder="1" applyAlignment="1">
      <alignment horizontal="center" vertical="center"/>
    </xf>
    <xf numFmtId="0" fontId="1" fillId="0" borderId="47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" fillId="0" borderId="69" xfId="0" applyFont="1" applyBorder="1" applyAlignment="1">
      <alignment horizontal="center" vertical="center"/>
    </xf>
    <xf numFmtId="0" fontId="5" fillId="0" borderId="69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1" fontId="3" fillId="4" borderId="42" xfId="0" applyNumberFormat="1" applyFont="1" applyFill="1" applyBorder="1" applyAlignment="1">
      <alignment horizontal="center"/>
    </xf>
    <xf numFmtId="1" fontId="3" fillId="4" borderId="73" xfId="0" applyNumberFormat="1" applyFont="1" applyFill="1" applyBorder="1" applyAlignment="1">
      <alignment horizontal="center"/>
    </xf>
    <xf numFmtId="1" fontId="1" fillId="4" borderId="77" xfId="0" applyNumberFormat="1" applyFont="1" applyFill="1" applyBorder="1" applyAlignment="1">
      <alignment horizontal="center"/>
    </xf>
    <xf numFmtId="1" fontId="3" fillId="3" borderId="42" xfId="0" applyNumberFormat="1" applyFont="1" applyFill="1" applyBorder="1" applyAlignment="1">
      <alignment horizontal="center"/>
    </xf>
    <xf numFmtId="1" fontId="3" fillId="3" borderId="73" xfId="0" applyNumberFormat="1" applyFont="1" applyFill="1" applyBorder="1" applyAlignment="1">
      <alignment horizontal="center"/>
    </xf>
    <xf numFmtId="1" fontId="1" fillId="3" borderId="77" xfId="0" applyNumberFormat="1" applyFont="1" applyFill="1" applyBorder="1" applyAlignment="1">
      <alignment horizontal="center"/>
    </xf>
    <xf numFmtId="1" fontId="3" fillId="6" borderId="52" xfId="0" applyNumberFormat="1" applyFont="1" applyFill="1" applyBorder="1" applyAlignment="1">
      <alignment horizontal="center"/>
    </xf>
    <xf numFmtId="1" fontId="3" fillId="6" borderId="19" xfId="0" applyNumberFormat="1" applyFont="1" applyFill="1" applyBorder="1" applyAlignment="1">
      <alignment horizontal="center"/>
    </xf>
    <xf numFmtId="1" fontId="1" fillId="6" borderId="49" xfId="0" applyNumberFormat="1" applyFont="1" applyFill="1" applyBorder="1" applyAlignment="1">
      <alignment horizontal="center"/>
    </xf>
    <xf numFmtId="1" fontId="3" fillId="6" borderId="31" xfId="0" applyNumberFormat="1" applyFont="1" applyFill="1" applyBorder="1" applyAlignment="1">
      <alignment horizontal="center"/>
    </xf>
    <xf numFmtId="1" fontId="3" fillId="6" borderId="20" xfId="0" applyNumberFormat="1" applyFont="1" applyFill="1" applyBorder="1" applyAlignment="1">
      <alignment horizontal="center"/>
    </xf>
    <xf numFmtId="1" fontId="1" fillId="6" borderId="41" xfId="0" applyNumberFormat="1" applyFont="1" applyFill="1" applyBorder="1" applyAlignment="1">
      <alignment horizontal="center"/>
    </xf>
    <xf numFmtId="1" fontId="1" fillId="6" borderId="20" xfId="0" applyNumberFormat="1" applyFont="1" applyFill="1" applyBorder="1" applyAlignment="1">
      <alignment horizontal="center"/>
    </xf>
    <xf numFmtId="0" fontId="5" fillId="0" borderId="60" xfId="0" applyFont="1" applyBorder="1" applyAlignment="1">
      <alignment horizontal="center" vertical="center"/>
    </xf>
  </cellXfs>
  <cellStyles count="1">
    <cellStyle name="Normální" xfId="0" builtinId="0"/>
  </cellStyles>
  <dxfs count="1873"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ill>
        <patternFill>
          <bgColor theme="0" tint="-0.14996795556505021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ill>
        <patternFill>
          <bgColor theme="0" tint="-0.14996795556505021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ill>
        <patternFill>
          <bgColor theme="0" tint="-0.14996795556505021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ill>
        <patternFill>
          <bgColor theme="0" tint="-0.14996795556505021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ill>
        <patternFill>
          <bgColor theme="0" tint="-0.14996795556505021"/>
        </patternFill>
      </fill>
    </dxf>
    <dxf>
      <font>
        <condense val="0"/>
        <extend val="0"/>
        <color rgb="FF9C0006"/>
      </font>
    </dxf>
    <dxf>
      <fill>
        <patternFill>
          <bgColor theme="0" tint="-0.14996795556505021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ill>
        <patternFill>
          <bgColor theme="0" tint="-0.14996795556505021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ill>
        <patternFill>
          <bgColor theme="1" tint="0.49998474074526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ill>
        <patternFill>
          <bgColor theme="0" tint="-0.14996795556505021"/>
        </patternFill>
      </fill>
    </dxf>
    <dxf>
      <fill>
        <patternFill>
          <bgColor theme="1" tint="0.49998474074526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ill>
        <patternFill>
          <bgColor theme="1" tint="0.49998474074526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ill>
        <patternFill>
          <bgColor theme="1" tint="0.49998474074526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ill>
        <patternFill>
          <bgColor theme="1" tint="0.49998474074526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ill>
        <patternFill>
          <bgColor theme="1" tint="0.49998474074526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ill>
        <patternFill>
          <bgColor theme="1" tint="0.49998474074526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ill>
        <patternFill>
          <bgColor theme="1" tint="0.49998474074526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ndense val="0"/>
        <extend val="0"/>
        <color rgb="FF9C0006"/>
      </font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theme="1" tint="0.499984740745262"/>
        </patternFill>
      </fill>
    </dxf>
    <dxf>
      <fill>
        <patternFill>
          <bgColor theme="0" tint="-0.14996795556505021"/>
        </patternFill>
      </fill>
    </dxf>
    <dxf>
      <font>
        <condense val="0"/>
        <extend val="0"/>
        <color rgb="FF9C0006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ndense val="0"/>
        <extend val="0"/>
        <color rgb="FF9C0006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ndense val="0"/>
        <extend val="0"/>
        <color rgb="FF9C0006"/>
      </font>
    </dxf>
    <dxf>
      <fill>
        <patternFill>
          <bgColor theme="0" tint="-0.14996795556505021"/>
        </patternFill>
      </fill>
    </dxf>
    <dxf>
      <fill>
        <patternFill>
          <bgColor theme="1" tint="0.499984740745262"/>
        </patternFill>
      </fill>
    </dxf>
    <dxf>
      <fill>
        <patternFill>
          <bgColor theme="0" tint="-0.14996795556505021"/>
        </patternFill>
      </fill>
    </dxf>
    <dxf>
      <font>
        <condense val="0"/>
        <extend val="0"/>
        <color rgb="FF9C0006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ndense val="0"/>
        <extend val="0"/>
        <color rgb="FF9C0006"/>
      </font>
    </dxf>
    <dxf>
      <fill>
        <patternFill>
          <bgColor theme="1" tint="0.49998474074526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ill>
        <patternFill>
          <bgColor theme="0" tint="-0.14996795556505021"/>
        </patternFill>
      </fill>
    </dxf>
    <dxf>
      <fill>
        <patternFill>
          <bgColor theme="1" tint="0.499984740745262"/>
        </patternFill>
      </fill>
    </dxf>
    <dxf>
      <fill>
        <patternFill>
          <bgColor theme="0" tint="-0.14996795556505021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ill>
        <patternFill>
          <bgColor theme="0" tint="-0.14996795556505021"/>
        </patternFill>
      </fill>
    </dxf>
    <dxf>
      <font>
        <condense val="0"/>
        <extend val="0"/>
        <color rgb="FF9C0006"/>
      </font>
    </dxf>
    <dxf>
      <fill>
        <patternFill>
          <bgColor theme="0" tint="-0.14996795556505021"/>
        </patternFill>
      </fill>
    </dxf>
    <dxf>
      <fill>
        <patternFill>
          <bgColor theme="1" tint="0.499984740745262"/>
        </patternFill>
      </fill>
    </dxf>
    <dxf>
      <fill>
        <patternFill>
          <bgColor theme="0" tint="-0.14996795556505021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ill>
        <patternFill>
          <bgColor theme="1" tint="0.49998474074526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ill>
        <patternFill>
          <bgColor theme="1" tint="0.49998474074526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ill>
        <patternFill>
          <bgColor theme="0" tint="-0.14996795556505021"/>
        </patternFill>
      </fill>
    </dxf>
    <dxf>
      <fill>
        <patternFill>
          <bgColor theme="1" tint="0.499984740745262"/>
        </patternFill>
      </fill>
    </dxf>
    <dxf>
      <fill>
        <patternFill>
          <bgColor theme="0" tint="-0.14996795556505021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ill>
        <patternFill>
          <bgColor theme="0" tint="-0.14996795556505021"/>
        </patternFill>
      </fill>
    </dxf>
    <dxf>
      <fill>
        <patternFill>
          <bgColor theme="1" tint="0.49998474074526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ill>
        <patternFill>
          <bgColor theme="1" tint="0.49998474074526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ill>
        <patternFill>
          <bgColor theme="0" tint="-0.14996795556505021"/>
        </patternFill>
      </fill>
    </dxf>
    <dxf>
      <fill>
        <patternFill>
          <bgColor theme="1" tint="0.49998474074526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ndense val="0"/>
        <extend val="0"/>
        <color rgb="FF9C0006"/>
      </font>
    </dxf>
    <dxf>
      <fill>
        <patternFill>
          <bgColor theme="1" tint="0.499984740745262"/>
        </patternFill>
      </fill>
    </dxf>
    <dxf>
      <fill>
        <patternFill>
          <bgColor theme="0" tint="-0.14996795556505021"/>
        </patternFill>
      </fill>
    </dxf>
    <dxf>
      <font>
        <condense val="0"/>
        <extend val="0"/>
        <color rgb="FF9C0006"/>
      </font>
    </dxf>
    <dxf>
      <fill>
        <patternFill>
          <bgColor rgb="FFFF0000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ill>
        <patternFill>
          <bgColor theme="1" tint="0.49998474074526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ill>
        <patternFill>
          <bgColor theme="0" tint="-0.14996795556505021"/>
        </patternFill>
      </fill>
    </dxf>
    <dxf>
      <fill>
        <patternFill>
          <bgColor theme="1" tint="0.49998474074526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theme="1" tint="0.499984740745262"/>
        </patternFill>
      </fill>
    </dxf>
    <dxf>
      <fill>
        <patternFill>
          <bgColor theme="0" tint="-0.14996795556505021"/>
        </patternFill>
      </fill>
    </dxf>
    <dxf>
      <font>
        <condense val="0"/>
        <extend val="0"/>
        <color rgb="FF9C0006"/>
      </font>
    </dxf>
    <dxf>
      <fill>
        <patternFill>
          <bgColor theme="0" tint="-0.14996795556505021"/>
        </patternFill>
      </fill>
    </dxf>
    <dxf>
      <fill>
        <patternFill>
          <bgColor theme="1" tint="0.49998474074526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ill>
        <patternFill>
          <bgColor theme="0" tint="-0.14996795556505021"/>
        </patternFill>
      </fill>
    </dxf>
    <dxf>
      <fill>
        <patternFill>
          <bgColor theme="1" tint="0.499984740745262"/>
        </patternFill>
      </fill>
    </dxf>
    <dxf>
      <fill>
        <patternFill>
          <bgColor theme="0" tint="-0.14996795556505021"/>
        </patternFill>
      </fill>
    </dxf>
    <dxf>
      <font>
        <condense val="0"/>
        <extend val="0"/>
        <color rgb="FF9C0006"/>
      </font>
    </dxf>
    <dxf>
      <fill>
        <patternFill>
          <bgColor rgb="FFFF0000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ill>
        <patternFill>
          <bgColor theme="1" tint="0.499984740745262"/>
        </patternFill>
      </fill>
    </dxf>
    <dxf>
      <fill>
        <patternFill>
          <bgColor theme="0" tint="-0.14996795556505021"/>
        </patternFill>
      </fill>
    </dxf>
    <dxf>
      <font>
        <condense val="0"/>
        <extend val="0"/>
        <color rgb="FF9C0006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ill>
        <patternFill>
          <bgColor theme="1" tint="0.49998474074526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ill>
        <patternFill>
          <bgColor theme="1" tint="0.49998474074526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ill>
        <patternFill>
          <bgColor theme="0" tint="-0.14996795556505021"/>
        </patternFill>
      </fill>
    </dxf>
    <dxf>
      <fill>
        <patternFill>
          <bgColor theme="1" tint="0.499984740745262"/>
        </patternFill>
      </fill>
    </dxf>
    <dxf>
      <fill>
        <patternFill>
          <bgColor theme="0" tint="-0.14996795556505021"/>
        </patternFill>
      </fill>
    </dxf>
    <dxf>
      <font>
        <condense val="0"/>
        <extend val="0"/>
        <color rgb="FF9C0006"/>
      </font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ont>
        <condense val="0"/>
        <extend val="0"/>
        <color rgb="FF9C0006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ndense val="0"/>
        <extend val="0"/>
        <color rgb="FF9C0006"/>
      </font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theme="1" tint="0.499984740745262"/>
        </patternFill>
      </fill>
    </dxf>
    <dxf>
      <fill>
        <patternFill>
          <bgColor theme="0" tint="-0.14996795556505021"/>
        </patternFill>
      </fill>
    </dxf>
    <dxf>
      <font>
        <condense val="0"/>
        <extend val="0"/>
        <color rgb="FF9C0006"/>
      </font>
    </dxf>
    <dxf>
      <fill>
        <patternFill>
          <bgColor theme="1" tint="0.499984740745262"/>
        </patternFill>
      </fill>
    </dxf>
    <dxf>
      <fill>
        <patternFill>
          <bgColor theme="0" tint="-0.14996795556505021"/>
        </patternFill>
      </fill>
    </dxf>
    <dxf>
      <font>
        <condense val="0"/>
        <extend val="0"/>
        <color rgb="FF9C0006"/>
      </font>
    </dxf>
    <dxf>
      <fill>
        <patternFill>
          <bgColor theme="1" tint="0.499984740745262"/>
        </patternFill>
      </fill>
    </dxf>
    <dxf>
      <fill>
        <patternFill>
          <bgColor theme="0" tint="-0.14996795556505021"/>
        </patternFill>
      </fill>
    </dxf>
    <dxf>
      <font>
        <condense val="0"/>
        <extend val="0"/>
        <color rgb="FF9C0006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theme="1" tint="0.499984740745262"/>
        </patternFill>
      </fill>
    </dxf>
    <dxf>
      <fill>
        <patternFill>
          <bgColor theme="0" tint="-0.14996795556505021"/>
        </patternFill>
      </fill>
    </dxf>
    <dxf>
      <font>
        <condense val="0"/>
        <extend val="0"/>
        <color rgb="FF9C0006"/>
      </font>
    </dxf>
    <dxf>
      <fill>
        <patternFill>
          <bgColor theme="0" tint="-0.14996795556505021"/>
        </patternFill>
      </fill>
    </dxf>
    <dxf>
      <fill>
        <patternFill>
          <bgColor theme="1" tint="0.499984740745262"/>
        </patternFill>
      </fill>
    </dxf>
    <dxf>
      <fill>
        <patternFill>
          <bgColor theme="0" tint="-0.14996795556505021"/>
        </patternFill>
      </fill>
    </dxf>
    <dxf>
      <font>
        <condense val="0"/>
        <extend val="0"/>
        <color rgb="FF9C0006"/>
      </font>
    </dxf>
    <dxf>
      <fill>
        <patternFill>
          <bgColor theme="0" tint="-0.14996795556505021"/>
        </patternFill>
      </fill>
    </dxf>
    <dxf>
      <fill>
        <patternFill>
          <bgColor theme="1" tint="0.499984740745262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theme="1" tint="0.499984740745262"/>
        </patternFill>
      </fill>
    </dxf>
    <dxf>
      <fill>
        <patternFill>
          <bgColor theme="0" tint="-0.14996795556505021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theme="1" tint="0.499984740745262"/>
        </patternFill>
      </fill>
    </dxf>
    <dxf>
      <fill>
        <patternFill>
          <bgColor theme="0" tint="-0.14996795556505021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ill>
        <patternFill>
          <bgColor theme="1" tint="0.49998474074526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ndense val="0"/>
        <extend val="0"/>
        <color rgb="FF9C0006"/>
      </font>
    </dxf>
    <dxf>
      <fill>
        <patternFill>
          <bgColor theme="0" tint="-0.14996795556505021"/>
        </patternFill>
      </fill>
    </dxf>
    <dxf>
      <fill>
        <patternFill>
          <bgColor theme="1" tint="0.49998474074526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1" tint="0.499984740745262"/>
        </patternFill>
      </fill>
    </dxf>
    <dxf>
      <fill>
        <patternFill>
          <bgColor theme="0" tint="-0.14996795556505021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ill>
        <patternFill>
          <bgColor theme="1" tint="0.49998474074526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ill>
        <patternFill>
          <bgColor theme="1" tint="0.49998474074526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1" tint="0.49998474074526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1" tint="0.49998474074526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ill>
        <patternFill>
          <bgColor theme="1" tint="0.49998474074526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ill>
        <patternFill>
          <bgColor theme="1" tint="0.49998474074526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ill>
        <patternFill>
          <bgColor theme="1" tint="0.49998474074526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ill>
        <patternFill>
          <bgColor theme="1" tint="0.49998474074526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1" tint="0.49998474074526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1" tint="0.49998474074526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1" tint="0.499984740745262"/>
        </patternFill>
      </fill>
    </dxf>
    <dxf>
      <fill>
        <patternFill>
          <bgColor theme="0" tint="-0.14996795556505021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ill>
        <patternFill>
          <bgColor theme="1" tint="0.49998474074526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ill>
        <patternFill>
          <bgColor theme="1" tint="0.49998474074526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1" tint="0.49998474074526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ill>
        <patternFill>
          <bgColor theme="1" tint="0.49998474074526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ill>
        <patternFill>
          <bgColor theme="1" tint="0.49998474074526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1" tint="0.49998474074526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ill>
        <patternFill>
          <bgColor theme="1" tint="0.49998474074526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1" tint="0.49998474074526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ill>
        <patternFill>
          <bgColor theme="1" tint="0.49998474074526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ill>
        <patternFill>
          <bgColor theme="1" tint="0.49998474074526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ill>
        <patternFill>
          <bgColor theme="1" tint="0.49998474074526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1" tint="0.49998474074526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ill>
        <patternFill>
          <bgColor theme="1" tint="0.49998474074526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ndense val="0"/>
        <extend val="0"/>
        <color rgb="FF9C0006"/>
      </font>
    </dxf>
    <dxf>
      <fill>
        <patternFill>
          <bgColor theme="1" tint="0.49998474074526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ill>
        <patternFill>
          <bgColor theme="1" tint="0.49998474074526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ill>
        <patternFill>
          <bgColor theme="1" tint="0.49998474074526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ndense val="0"/>
        <extend val="0"/>
        <color rgb="FF9C0006"/>
      </font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ill>
        <patternFill>
          <bgColor theme="0" tint="-0.14996795556505021"/>
        </patternFill>
      </fill>
    </dxf>
    <dxf>
      <fill>
        <patternFill>
          <bgColor theme="1" tint="0.499984740745262"/>
        </patternFill>
      </fill>
    </dxf>
    <dxf>
      <fill>
        <patternFill>
          <bgColor theme="0" tint="-0.14996795556505021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ill>
        <patternFill>
          <bgColor theme="1" tint="0.49998474074526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1" tint="0.49998474074526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1" tint="0.499984740745262"/>
        </patternFill>
      </fill>
    </dxf>
    <dxf>
      <fill>
        <patternFill>
          <bgColor theme="0" tint="-0.14996795556505021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ill>
        <patternFill>
          <bgColor theme="1" tint="0.49998474074526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1" tint="0.49998474074526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ill>
        <patternFill>
          <bgColor theme="1" tint="0.49998474074526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ill>
        <patternFill>
          <bgColor theme="1" tint="0.49998474074526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ndense val="0"/>
        <extend val="0"/>
        <color rgb="FF9C0006"/>
      </font>
    </dxf>
    <dxf>
      <fill>
        <patternFill>
          <bgColor theme="1" tint="0.49998474074526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ndense val="0"/>
        <extend val="0"/>
        <color rgb="FF9C0006"/>
      </font>
    </dxf>
    <dxf>
      <fill>
        <patternFill>
          <bgColor theme="0" tint="-0.14996795556505021"/>
        </patternFill>
      </fill>
    </dxf>
    <dxf>
      <fill>
        <patternFill>
          <bgColor theme="1" tint="0.49998474074526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1" tint="0.499984740745262"/>
        </patternFill>
      </fill>
    </dxf>
    <dxf>
      <fill>
        <patternFill>
          <bgColor theme="0" tint="-0.14996795556505021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ill>
        <patternFill>
          <bgColor theme="1" tint="0.49998474074526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ill>
        <patternFill>
          <bgColor theme="1" tint="0.49998474074526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1" tint="0.499984740745262"/>
        </patternFill>
      </fill>
    </dxf>
    <dxf>
      <fill>
        <patternFill>
          <bgColor theme="0" tint="-0.14996795556505021"/>
        </patternFill>
      </fill>
    </dxf>
    <dxf>
      <font>
        <condense val="0"/>
        <extend val="0"/>
        <color rgb="FF9C0006"/>
      </font>
    </dxf>
    <dxf>
      <fill>
        <patternFill>
          <bgColor theme="1" tint="0.49998474074526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ndense val="0"/>
        <extend val="0"/>
        <color rgb="FF9C0006"/>
      </font>
    </dxf>
    <dxf>
      <fill>
        <patternFill>
          <bgColor theme="0" tint="-0.14996795556505021"/>
        </patternFill>
      </fill>
    </dxf>
    <dxf>
      <fill>
        <patternFill>
          <bgColor theme="1" tint="0.499984740745262"/>
        </patternFill>
      </fill>
    </dxf>
    <dxf>
      <fill>
        <patternFill>
          <bgColor theme="0" tint="-0.14996795556505021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ill>
        <patternFill>
          <bgColor theme="1" tint="0.49998474074526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ill>
        <patternFill>
          <bgColor theme="1" tint="0.49998474074526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ill>
        <patternFill>
          <bgColor theme="1" tint="0.49998474074526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ill>
        <patternFill>
          <bgColor theme="1" tint="0.49998474074526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1" tint="0.49998474074526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ndense val="0"/>
        <extend val="0"/>
        <color rgb="FF9C0006"/>
      </font>
    </dxf>
    <dxf>
      <fill>
        <patternFill>
          <bgColor theme="1" tint="0.49998474074526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ndense val="0"/>
        <extend val="0"/>
        <color rgb="FF9C0006"/>
      </font>
    </dxf>
    <dxf>
      <fill>
        <patternFill>
          <bgColor theme="0" tint="-0.14996795556505021"/>
        </patternFill>
      </fill>
    </dxf>
    <dxf>
      <fill>
        <patternFill>
          <bgColor theme="1" tint="0.49998474074526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1" tint="0.49998474074526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1" tint="0.49998474074526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1" tint="0.499984740745262"/>
        </patternFill>
      </fill>
    </dxf>
    <dxf>
      <fill>
        <patternFill>
          <bgColor theme="0" tint="-0.14996795556505021"/>
        </patternFill>
      </fill>
    </dxf>
    <dxf>
      <fill>
        <patternFill>
          <bgColor theme="1" tint="0.49998474074526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ill>
        <patternFill>
          <bgColor theme="1" tint="0.49998474074526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ill>
        <patternFill>
          <bgColor theme="1" tint="0.49998474074526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ndense val="0"/>
        <extend val="0"/>
        <color rgb="FF9C0006"/>
      </font>
    </dxf>
    <dxf>
      <fill>
        <patternFill>
          <bgColor theme="1" tint="0.49998474074526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ill>
        <patternFill>
          <bgColor theme="1" tint="0.49998474074526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ill>
        <patternFill>
          <bgColor theme="1" tint="0.49998474074526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1" tint="0.49998474074526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1" tint="0.499984740745262"/>
        </patternFill>
      </fill>
    </dxf>
    <dxf>
      <fill>
        <patternFill>
          <bgColor theme="0" tint="-0.14996795556505021"/>
        </patternFill>
      </fill>
    </dxf>
    <dxf>
      <font>
        <condense val="0"/>
        <extend val="0"/>
        <color rgb="FF9C0006"/>
      </font>
    </dxf>
    <dxf>
      <fill>
        <patternFill>
          <bgColor theme="1" tint="0.49998474074526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ndense val="0"/>
        <extend val="0"/>
        <color rgb="FF9C0006"/>
      </font>
    </dxf>
    <dxf>
      <fill>
        <patternFill>
          <bgColor theme="0" tint="-0.14996795556505021"/>
        </patternFill>
      </fill>
    </dxf>
    <dxf>
      <fill>
        <patternFill>
          <bgColor theme="1" tint="0.49998474074526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1" tint="0.499984740745262"/>
        </patternFill>
      </fill>
    </dxf>
    <dxf>
      <fill>
        <patternFill>
          <bgColor theme="0" tint="-0.14996795556505021"/>
        </patternFill>
      </fill>
    </dxf>
    <dxf>
      <font>
        <condense val="0"/>
        <extend val="0"/>
        <color rgb="FF9C0006"/>
      </font>
    </dxf>
    <dxf>
      <fill>
        <patternFill>
          <bgColor theme="1" tint="0.49998474074526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ill>
        <patternFill>
          <bgColor theme="1" tint="0.49998474074526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ndense val="0"/>
        <extend val="0"/>
        <color rgb="FF9C0006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ill>
        <patternFill>
          <bgColor theme="1" tint="0.49998474074526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ill>
        <patternFill>
          <bgColor theme="0" tint="-0.14996795556505021"/>
        </patternFill>
      </fill>
    </dxf>
    <dxf>
      <fill>
        <patternFill>
          <bgColor theme="1" tint="0.49998474074526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ill>
        <patternFill>
          <bgColor theme="1" tint="0.49998474074526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1" tint="0.499984740745262"/>
        </patternFill>
      </fill>
    </dxf>
    <dxf>
      <fill>
        <patternFill>
          <bgColor theme="0" tint="-0.14996795556505021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ill>
        <patternFill>
          <bgColor theme="0" tint="-0.14996795556505021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ill>
        <patternFill>
          <bgColor theme="0" tint="-0.14996795556505021"/>
        </patternFill>
      </fill>
    </dxf>
    <dxf>
      <font>
        <condense val="0"/>
        <extend val="0"/>
        <color rgb="FF9C0006"/>
      </font>
    </dxf>
    <dxf>
      <fill>
        <patternFill>
          <bgColor theme="0" tint="-0.14996795556505021"/>
        </patternFill>
      </fill>
    </dxf>
    <dxf>
      <fill>
        <patternFill>
          <bgColor theme="1" tint="0.499984740745262"/>
        </patternFill>
      </fill>
    </dxf>
    <dxf>
      <fill>
        <patternFill>
          <bgColor theme="0" tint="-0.14996795556505021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ill>
        <patternFill>
          <bgColor theme="0" tint="-0.14996795556505021"/>
        </patternFill>
      </fill>
    </dxf>
    <dxf>
      <fill>
        <patternFill>
          <bgColor theme="1" tint="0.499984740745262"/>
        </patternFill>
      </fill>
    </dxf>
    <dxf>
      <fill>
        <patternFill>
          <bgColor theme="0" tint="-0.14996795556505021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ill>
        <patternFill>
          <bgColor theme="0" tint="-0.14996795556505021"/>
        </patternFill>
      </fill>
    </dxf>
    <dxf>
      <fill>
        <patternFill>
          <bgColor theme="1" tint="0.49998474074526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ill>
        <patternFill>
          <bgColor theme="1" tint="0.49998474074526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ill>
        <patternFill>
          <bgColor theme="1" tint="0.49998474074526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ill>
        <patternFill>
          <bgColor theme="0" tint="-0.14996795556505021"/>
        </patternFill>
      </fill>
    </dxf>
    <dxf>
      <fill>
        <patternFill>
          <bgColor theme="1" tint="0.49998474074526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ill>
        <patternFill>
          <bgColor theme="1" tint="0.49998474074526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ill>
        <patternFill>
          <bgColor theme="1" tint="0.49998474074526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ndense val="0"/>
        <extend val="0"/>
        <color rgb="FF9C0006"/>
      </font>
    </dxf>
    <dxf>
      <fill>
        <patternFill>
          <bgColor theme="1" tint="0.49998474074526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ill>
        <patternFill>
          <bgColor theme="1" tint="0.49998474074526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ndense val="0"/>
        <extend val="0"/>
        <color rgb="FF9C0006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1" tint="0.49998474074526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1" tint="0.49998474074526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1" tint="0.49998474074526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1" tint="0.499984740745262"/>
        </patternFill>
      </fill>
    </dxf>
    <dxf>
      <fill>
        <patternFill>
          <bgColor theme="0" tint="-0.14996795556505021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ill>
        <patternFill>
          <bgColor theme="1" tint="0.49998474074526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ill>
        <patternFill>
          <bgColor theme="1" tint="0.49998474074526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ill>
        <patternFill>
          <bgColor theme="1" tint="0.49998474074526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ill>
        <patternFill>
          <bgColor theme="1" tint="0.499984740745262"/>
        </patternFill>
      </fill>
    </dxf>
    <dxf>
      <fill>
        <patternFill>
          <bgColor theme="0" tint="-0.14996795556505021"/>
        </patternFill>
      </fill>
    </dxf>
    <dxf>
      <font>
        <condense val="0"/>
        <extend val="0"/>
        <color rgb="FF9C0006"/>
      </font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ill>
        <patternFill>
          <bgColor theme="0" tint="-0.14996795556505021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ill>
        <patternFill>
          <bgColor theme="0" tint="-0.14996795556505021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ill>
        <patternFill>
          <bgColor theme="1" tint="0.49998474074526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ill>
        <patternFill>
          <bgColor theme="1" tint="0.49998474074526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ill>
        <patternFill>
          <bgColor theme="1" tint="0.49998474074526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ill>
        <patternFill>
          <bgColor theme="0" tint="-0.14996795556505021"/>
        </patternFill>
      </fill>
    </dxf>
    <dxf>
      <fill>
        <patternFill>
          <bgColor theme="1" tint="0.49998474074526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ill>
        <patternFill>
          <bgColor theme="1" tint="0.49998474074526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ill>
        <patternFill>
          <bgColor theme="1" tint="0.49998474074526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ill>
        <patternFill>
          <bgColor theme="1" tint="0.49998474074526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ill>
        <patternFill>
          <bgColor theme="1" tint="0.49998474074526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ill>
        <patternFill>
          <bgColor theme="1" tint="0.49998474074526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ill>
        <patternFill>
          <bgColor theme="1" tint="0.49998474074526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ill>
        <patternFill>
          <bgColor theme="1" tint="0.49998474074526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1" tint="0.49998474074526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1" tint="0.49998474074526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ill>
        <patternFill>
          <bgColor theme="1" tint="0.49998474074526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ndense val="0"/>
        <extend val="0"/>
        <color rgb="FF9C0006"/>
      </font>
    </dxf>
    <dxf>
      <fill>
        <patternFill>
          <bgColor theme="1" tint="0.49998474074526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ill>
        <patternFill>
          <bgColor theme="1" tint="0.49998474074526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ill>
        <patternFill>
          <bgColor theme="1" tint="0.49998474074526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ndense val="0"/>
        <extend val="0"/>
        <color rgb="FF9C0006"/>
      </font>
    </dxf>
    <dxf>
      <fill>
        <patternFill>
          <bgColor theme="1" tint="0.49998474074526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ndense val="0"/>
        <extend val="0"/>
        <color rgb="FF9C0006"/>
      </font>
    </dxf>
    <dxf>
      <fill>
        <patternFill>
          <bgColor theme="1" tint="0.49998474074526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1" tint="0.49998474074526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ill>
        <patternFill>
          <bgColor theme="1" tint="0.49998474074526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ndense val="0"/>
        <extend val="0"/>
        <color rgb="FF9C0006"/>
      </font>
    </dxf>
    <dxf>
      <fill>
        <patternFill>
          <bgColor theme="1" tint="0.49998474074526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ill>
        <patternFill>
          <bgColor theme="1" tint="0.499984740745262"/>
        </patternFill>
      </fill>
    </dxf>
    <dxf>
      <fill>
        <patternFill>
          <bgColor theme="0" tint="-0.14996795556505021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ill>
        <patternFill>
          <bgColor theme="0" tint="-0.14996795556505021"/>
        </patternFill>
      </fill>
    </dxf>
    <dxf>
      <fill>
        <patternFill>
          <bgColor theme="1" tint="0.499984740745262"/>
        </patternFill>
      </fill>
    </dxf>
    <dxf>
      <fill>
        <patternFill>
          <bgColor theme="0" tint="-0.14996795556505021"/>
        </patternFill>
      </fill>
    </dxf>
    <dxf>
      <font>
        <condense val="0"/>
        <extend val="0"/>
        <color rgb="FF9C0006"/>
      </font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ndense val="0"/>
        <extend val="0"/>
        <color rgb="FF9C0006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theme="1" tint="0.499984740745262"/>
        </patternFill>
      </fill>
    </dxf>
    <dxf>
      <fill>
        <patternFill>
          <bgColor theme="0" tint="-0.14996795556505021"/>
        </patternFill>
      </fill>
    </dxf>
    <dxf>
      <font>
        <condense val="0"/>
        <extend val="0"/>
        <color rgb="FF9C0006"/>
      </font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theme="1" tint="0.499984740745262"/>
        </patternFill>
      </fill>
    </dxf>
    <dxf>
      <fill>
        <patternFill>
          <bgColor theme="0" tint="-0.14996795556505021"/>
        </patternFill>
      </fill>
    </dxf>
    <dxf>
      <font>
        <condense val="0"/>
        <extend val="0"/>
        <color rgb="FF9C0006"/>
      </font>
    </dxf>
    <dxf>
      <fill>
        <patternFill>
          <bgColor theme="0" tint="-0.14996795556505021"/>
        </patternFill>
      </fill>
    </dxf>
    <dxf>
      <fill>
        <patternFill>
          <bgColor theme="1" tint="0.499984740745262"/>
        </patternFill>
      </fill>
    </dxf>
    <dxf>
      <fill>
        <patternFill>
          <bgColor theme="0" tint="-0.14996795556505021"/>
        </patternFill>
      </fill>
    </dxf>
    <dxf>
      <font>
        <condense val="0"/>
        <extend val="0"/>
        <color rgb="FF9C0006"/>
      </font>
    </dxf>
    <dxf>
      <fill>
        <patternFill>
          <bgColor theme="1" tint="0.499984740745262"/>
        </patternFill>
      </fill>
    </dxf>
    <dxf>
      <fill>
        <patternFill>
          <bgColor theme="0" tint="-0.14996795556505021"/>
        </patternFill>
      </fill>
    </dxf>
    <dxf>
      <font>
        <condense val="0"/>
        <extend val="0"/>
        <color rgb="FF9C0006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ont>
        <condense val="0"/>
        <extend val="0"/>
        <color rgb="FF9C0006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theme="1" tint="0.499984740745262"/>
        </patternFill>
      </fill>
    </dxf>
    <dxf>
      <fill>
        <patternFill>
          <bgColor theme="0" tint="-0.14996795556505021"/>
        </patternFill>
      </fill>
    </dxf>
    <dxf>
      <font>
        <condense val="0"/>
        <extend val="0"/>
        <color rgb="FF9C0006"/>
      </font>
    </dxf>
    <dxf>
      <fill>
        <patternFill>
          <bgColor theme="0" tint="-0.14996795556505021"/>
        </patternFill>
      </fill>
    </dxf>
    <dxf>
      <fill>
        <patternFill>
          <bgColor theme="1" tint="0.499984740745262"/>
        </patternFill>
      </fill>
    </dxf>
    <dxf>
      <fill>
        <patternFill>
          <bgColor theme="0" tint="-0.14996795556505021"/>
        </patternFill>
      </fill>
    </dxf>
    <dxf>
      <font>
        <condense val="0"/>
        <extend val="0"/>
        <color rgb="FF9C0006"/>
      </font>
    </dxf>
    <dxf>
      <fill>
        <patternFill>
          <bgColor theme="0" tint="-0.14996795556505021"/>
        </patternFill>
      </fill>
    </dxf>
    <dxf>
      <fill>
        <patternFill>
          <bgColor theme="1" tint="0.499984740745262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ill>
        <patternFill>
          <bgColor theme="1" tint="0.49998474074526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ill>
        <patternFill>
          <bgColor theme="1" tint="0.49998474074526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1" tint="0.49998474074526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1" tint="0.499984740745262"/>
        </patternFill>
      </fill>
    </dxf>
    <dxf>
      <fill>
        <patternFill>
          <bgColor theme="0" tint="-0.14996795556505021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ill>
        <patternFill>
          <bgColor theme="0" tint="-0.14996795556505021"/>
        </patternFill>
      </fill>
    </dxf>
    <dxf>
      <fill>
        <patternFill>
          <bgColor theme="1" tint="0.49998474074526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1" tint="0.49998474074526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1" tint="0.499984740745262"/>
        </patternFill>
      </fill>
    </dxf>
    <dxf>
      <fill>
        <patternFill>
          <bgColor theme="0" tint="-0.14996795556505021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ill>
        <patternFill>
          <bgColor theme="0" tint="-0.14996795556505021"/>
        </patternFill>
      </fill>
    </dxf>
    <dxf>
      <fill>
        <patternFill>
          <bgColor theme="1" tint="0.49998474074526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ill>
        <patternFill>
          <bgColor theme="1" tint="0.49998474074526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ill>
        <patternFill>
          <bgColor theme="1" tint="0.49998474074526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1" tint="0.49998474074526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1" tint="0.499984740745262"/>
        </patternFill>
      </fill>
    </dxf>
    <dxf>
      <fill>
        <patternFill>
          <bgColor theme="0" tint="-0.14996795556505021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ill>
        <patternFill>
          <bgColor theme="1" tint="0.49998474074526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ill>
        <patternFill>
          <bgColor theme="1" tint="0.49998474074526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ill>
        <patternFill>
          <bgColor theme="1" tint="0.49998474074526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ndense val="0"/>
        <extend val="0"/>
        <color rgb="FF9C0006"/>
      </font>
    </dxf>
    <dxf>
      <fill>
        <patternFill>
          <bgColor theme="0" tint="-0.14996795556505021"/>
        </patternFill>
      </fill>
    </dxf>
    <dxf>
      <fill>
        <patternFill>
          <bgColor theme="1" tint="0.49998474074526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1" tint="0.49998474074526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1" tint="0.49998474074526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1" tint="0.499984740745262"/>
        </patternFill>
      </fill>
    </dxf>
    <dxf>
      <fill>
        <patternFill>
          <bgColor theme="0" tint="-0.14996795556505021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ill>
        <patternFill>
          <bgColor theme="0" tint="-0.14996795556505021"/>
        </patternFill>
      </fill>
    </dxf>
    <dxf>
      <fill>
        <patternFill>
          <bgColor theme="1" tint="0.499984740745262"/>
        </patternFill>
      </fill>
    </dxf>
    <dxf>
      <fill>
        <patternFill>
          <bgColor theme="0" tint="-0.14996795556505021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ill>
        <patternFill>
          <bgColor theme="0" tint="-0.14996795556505021"/>
        </patternFill>
      </fill>
    </dxf>
    <dxf>
      <fill>
        <patternFill>
          <bgColor theme="1" tint="0.49998474074526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1" tint="0.499984740745262"/>
        </patternFill>
      </fill>
    </dxf>
    <dxf>
      <fill>
        <patternFill>
          <bgColor theme="0" tint="-0.14996795556505021"/>
        </patternFill>
      </fill>
    </dxf>
    <dxf>
      <font>
        <condense val="0"/>
        <extend val="0"/>
        <color rgb="FF9C0006"/>
      </font>
    </dxf>
    <dxf>
      <fill>
        <patternFill>
          <bgColor theme="0" tint="-0.14996795556505021"/>
        </patternFill>
      </fill>
    </dxf>
    <dxf>
      <fill>
        <patternFill>
          <bgColor theme="1" tint="0.49998474074526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1" tint="0.49998474074526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1" tint="0.49998474074526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1" tint="0.49998474074526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1" tint="0.49998474074526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ill>
        <patternFill>
          <bgColor theme="1" tint="0.49998474074526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1" tint="0.49998474074526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1" tint="0.49998474074526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1" tint="0.49998474074526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ill>
        <patternFill>
          <bgColor theme="1" tint="0.49998474074526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ill>
        <patternFill>
          <bgColor theme="1" tint="0.49998474074526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1" tint="0.49998474074526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1" tint="0.49998474074526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1" tint="0.49998474074526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1" tint="0.49998474074526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1" tint="0.49998474074526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1" tint="0.499984740745262"/>
        </patternFill>
      </fill>
    </dxf>
    <dxf>
      <fill>
        <patternFill>
          <bgColor theme="0" tint="-0.14996795556505021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ill>
        <patternFill>
          <bgColor theme="1" tint="0.49998474074526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1" tint="0.49998474074526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1" tint="0.49998474074526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1" tint="0.49998474074526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1" tint="0.49998474074526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1" tint="0.49998474074526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1" tint="0.499984740745262"/>
        </patternFill>
      </fill>
    </dxf>
    <dxf>
      <fill>
        <patternFill>
          <bgColor theme="0" tint="-0.14996795556505021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ill>
        <patternFill>
          <bgColor theme="1" tint="0.49998474074526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ill>
        <patternFill>
          <bgColor theme="1" tint="0.499984740745262"/>
        </patternFill>
      </fill>
    </dxf>
    <dxf>
      <fill>
        <patternFill>
          <bgColor theme="0" tint="-0.14996795556505021"/>
        </patternFill>
      </fill>
    </dxf>
    <dxf>
      <font>
        <condense val="0"/>
        <extend val="0"/>
        <color rgb="FF9C0006"/>
      </font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ill>
        <patternFill>
          <bgColor theme="1" tint="0.49998474074526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ill>
        <patternFill>
          <bgColor theme="1" tint="0.49998474074526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ill>
        <patternFill>
          <bgColor theme="1" tint="0.49998474074526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ill>
        <patternFill>
          <bgColor theme="1" tint="0.49998474074526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ill>
        <patternFill>
          <bgColor theme="1" tint="0.49998474074526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ill>
        <patternFill>
          <bgColor theme="1" tint="0.49998474074526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ill>
        <patternFill>
          <bgColor theme="1" tint="0.49998474074526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ill>
        <patternFill>
          <bgColor theme="1" tint="0.49998474074526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ill>
        <patternFill>
          <bgColor theme="1" tint="0.49998474074526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ill>
        <patternFill>
          <bgColor theme="1" tint="0.49998474074526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ill>
        <patternFill>
          <bgColor theme="0" tint="-0.14996795556505021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ill>
        <patternFill>
          <bgColor theme="1" tint="0.49998474074526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ill>
        <patternFill>
          <bgColor theme="1" tint="0.49998474074526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ill>
        <patternFill>
          <bgColor theme="1" tint="0.49998474074526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ill>
        <patternFill>
          <bgColor theme="1" tint="0.49998474074526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ill>
        <patternFill>
          <bgColor theme="0" tint="-0.14996795556505021"/>
        </patternFill>
      </fill>
    </dxf>
    <dxf>
      <fill>
        <patternFill>
          <bgColor theme="1" tint="0.499984740745262"/>
        </patternFill>
      </fill>
    </dxf>
    <dxf>
      <fill>
        <patternFill>
          <bgColor theme="0" tint="-0.14996795556505021"/>
        </patternFill>
      </fill>
    </dxf>
    <dxf>
      <font>
        <condense val="0"/>
        <extend val="0"/>
        <color rgb="FF9C0006"/>
      </font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ill>
        <patternFill>
          <bgColor theme="1" tint="0.49998474074526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1" tint="0.49998474074526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ill>
        <patternFill>
          <bgColor theme="1" tint="0.49998474074526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ill>
        <patternFill>
          <bgColor theme="1" tint="0.49998474074526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ndense val="0"/>
        <extend val="0"/>
        <color rgb="FF9C0006"/>
      </font>
    </dxf>
    <dxf>
      <fill>
        <patternFill>
          <bgColor theme="1" tint="0.49998474074526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1" tint="0.49998474074526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ill>
        <patternFill>
          <bgColor theme="1" tint="0.49998474074526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ndense val="0"/>
        <extend val="0"/>
        <color rgb="FF9C0006"/>
      </font>
    </dxf>
    <dxf>
      <fill>
        <patternFill>
          <bgColor theme="1" tint="0.499984740745262"/>
        </patternFill>
      </fill>
    </dxf>
    <dxf>
      <fill>
        <patternFill>
          <bgColor theme="0" tint="-0.14996795556505021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ill>
        <patternFill>
          <bgColor theme="1" tint="0.49998474074526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ill>
        <patternFill>
          <bgColor theme="1" tint="0.49998474074526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ill>
        <patternFill>
          <bgColor theme="1" tint="0.49998474074526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ill>
        <patternFill>
          <bgColor theme="1" tint="0.49998474074526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ill>
        <patternFill>
          <bgColor theme="1" tint="0.49998474074526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ndense val="0"/>
        <extend val="0"/>
        <color rgb="FF9C0006"/>
      </font>
    </dxf>
    <dxf>
      <fill>
        <patternFill>
          <bgColor theme="0" tint="-0.14996795556505021"/>
        </patternFill>
      </fill>
    </dxf>
    <dxf>
      <fill>
        <patternFill>
          <bgColor theme="1" tint="0.49998474074526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ill>
        <patternFill>
          <bgColor theme="0" tint="-0.14996795556505021"/>
        </patternFill>
      </fill>
    </dxf>
    <dxf>
      <fill>
        <patternFill>
          <bgColor theme="1" tint="0.499984740745262"/>
        </patternFill>
      </fill>
    </dxf>
    <dxf>
      <fill>
        <patternFill>
          <bgColor theme="0" tint="-0.14996795556505021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ill>
        <patternFill>
          <bgColor theme="1" tint="0.49998474074526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ndense val="0"/>
        <extend val="0"/>
        <color rgb="FF9C0006"/>
      </font>
    </dxf>
    <dxf>
      <fill>
        <patternFill>
          <bgColor theme="1" tint="0.49998474074526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1" tint="0.49998474074526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ndense val="0"/>
        <extend val="0"/>
        <color rgb="FF9C0006"/>
      </font>
    </dxf>
    <dxf>
      <fill>
        <patternFill>
          <bgColor theme="1" tint="0.49998474074526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ill>
        <patternFill>
          <bgColor theme="1" tint="0.49998474074526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ndense val="0"/>
        <extend val="0"/>
        <color rgb="FF9C0006"/>
      </font>
    </dxf>
    <dxf>
      <fill>
        <patternFill>
          <bgColor theme="1" tint="0.49998474074526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ill>
        <patternFill>
          <bgColor theme="1" tint="0.49998474074526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ill>
        <patternFill>
          <bgColor theme="1" tint="0.49998474074526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ndense val="0"/>
        <extend val="0"/>
        <color rgb="FF9C0006"/>
      </font>
    </dxf>
    <dxf>
      <fill>
        <patternFill>
          <bgColor theme="1" tint="0.49998474074526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ndense val="0"/>
        <extend val="0"/>
        <color rgb="FF9C0006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ndense val="0"/>
        <extend val="0"/>
        <color rgb="FF9C0006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ndense val="0"/>
        <extend val="0"/>
        <color rgb="FF9C0006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ill>
        <patternFill>
          <bgColor theme="1" tint="0.499984740745262"/>
        </patternFill>
      </fill>
    </dxf>
    <dxf>
      <fill>
        <patternFill>
          <bgColor theme="0" tint="-0.14996795556505021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ill>
        <patternFill>
          <bgColor theme="1" tint="0.499984740745262"/>
        </patternFill>
      </fill>
    </dxf>
    <dxf>
      <fill>
        <patternFill>
          <bgColor theme="0" tint="-0.14996795556505021"/>
        </patternFill>
      </fill>
    </dxf>
    <dxf>
      <font>
        <condense val="0"/>
        <extend val="0"/>
        <color rgb="FF9C0006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1" tint="0.499984740745262"/>
        </patternFill>
      </fill>
    </dxf>
    <dxf>
      <fill>
        <patternFill>
          <bgColor theme="0" tint="-0.14996795556505021"/>
        </patternFill>
      </fill>
    </dxf>
    <dxf>
      <font>
        <condense val="0"/>
        <extend val="0"/>
        <color rgb="FF9C0006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theme="1" tint="0.499984740745262"/>
        </patternFill>
      </fill>
    </dxf>
    <dxf>
      <fill>
        <patternFill>
          <bgColor theme="0" tint="-0.14996795556505021"/>
        </patternFill>
      </fill>
    </dxf>
    <dxf>
      <font>
        <condense val="0"/>
        <extend val="0"/>
        <color rgb="FF9C0006"/>
      </font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theme="1" tint="0.499984740745262"/>
        </patternFill>
      </fill>
    </dxf>
    <dxf>
      <fill>
        <patternFill>
          <bgColor theme="0" tint="-0.14996795556505021"/>
        </patternFill>
      </fill>
    </dxf>
    <dxf>
      <font>
        <condense val="0"/>
        <extend val="0"/>
        <color rgb="FF9C0006"/>
      </font>
    </dxf>
    <dxf>
      <fill>
        <patternFill>
          <bgColor theme="0" tint="-0.14996795556505021"/>
        </patternFill>
      </fill>
    </dxf>
    <dxf>
      <fill>
        <patternFill>
          <bgColor theme="1" tint="0.499984740745262"/>
        </patternFill>
      </fill>
    </dxf>
    <dxf>
      <fill>
        <patternFill>
          <bgColor theme="0" tint="-0.14996795556505021"/>
        </patternFill>
      </fill>
    </dxf>
    <dxf>
      <font>
        <condense val="0"/>
        <extend val="0"/>
        <color rgb="FF9C0006"/>
      </font>
    </dxf>
    <dxf>
      <fill>
        <patternFill>
          <bgColor theme="1" tint="0.499984740745262"/>
        </patternFill>
      </fill>
    </dxf>
    <dxf>
      <fill>
        <patternFill>
          <bgColor theme="0" tint="-0.14996795556505021"/>
        </patternFill>
      </fill>
    </dxf>
    <dxf>
      <font>
        <condense val="0"/>
        <extend val="0"/>
        <color rgb="FF9C0006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ont>
        <condense val="0"/>
        <extend val="0"/>
        <color rgb="FF9C0006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theme="1" tint="0.499984740745262"/>
        </patternFill>
      </fill>
    </dxf>
    <dxf>
      <fill>
        <patternFill>
          <bgColor theme="0" tint="-0.14996795556505021"/>
        </patternFill>
      </fill>
    </dxf>
    <dxf>
      <font>
        <condense val="0"/>
        <extend val="0"/>
        <color rgb="FF9C0006"/>
      </font>
    </dxf>
    <dxf>
      <fill>
        <patternFill>
          <bgColor theme="0" tint="-0.14996795556505021"/>
        </patternFill>
      </fill>
    </dxf>
    <dxf>
      <fill>
        <patternFill>
          <bgColor theme="1" tint="0.499984740745262"/>
        </patternFill>
      </fill>
    </dxf>
    <dxf>
      <fill>
        <patternFill>
          <bgColor theme="0" tint="-0.14996795556505021"/>
        </patternFill>
      </fill>
    </dxf>
    <dxf>
      <font>
        <condense val="0"/>
        <extend val="0"/>
        <color rgb="FF9C0006"/>
      </font>
    </dxf>
    <dxf>
      <fill>
        <patternFill>
          <bgColor theme="0" tint="-0.14996795556505021"/>
        </patternFill>
      </fill>
    </dxf>
    <dxf>
      <fill>
        <patternFill>
          <bgColor theme="1" tint="0.499984740745262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ill>
        <patternFill>
          <bgColor theme="1" tint="0.49998474074526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1" tint="0.499984740745262"/>
        </patternFill>
      </fill>
    </dxf>
    <dxf>
      <fill>
        <patternFill>
          <bgColor theme="0" tint="-0.14996795556505021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ill>
        <patternFill>
          <bgColor theme="1" tint="0.49998474074526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1" tint="0.499984740745262"/>
        </patternFill>
      </fill>
    </dxf>
    <dxf>
      <fill>
        <patternFill>
          <bgColor theme="0" tint="-0.14996795556505021"/>
        </patternFill>
      </fill>
    </dxf>
    <dxf>
      <font>
        <condense val="0"/>
        <extend val="0"/>
        <color rgb="FF9C0006"/>
      </font>
    </dxf>
    <dxf>
      <fill>
        <patternFill>
          <bgColor theme="1" tint="0.49998474074526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1" tint="0.499984740745262"/>
        </patternFill>
      </fill>
    </dxf>
    <dxf>
      <fill>
        <patternFill>
          <bgColor theme="0" tint="-0.14996795556505021"/>
        </patternFill>
      </fill>
    </dxf>
    <dxf>
      <font>
        <condense val="0"/>
        <extend val="0"/>
        <color rgb="FF9C0006"/>
      </font>
    </dxf>
    <dxf>
      <fill>
        <patternFill>
          <bgColor theme="1" tint="0.49998474074526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ill>
        <patternFill>
          <bgColor theme="1" tint="0.49998474074526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ill>
        <patternFill>
          <bgColor theme="1" tint="0.49998474074526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ill>
        <patternFill>
          <bgColor theme="1" tint="0.49998474074526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ndense val="0"/>
        <extend val="0"/>
        <color rgb="FF9C0006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1" tint="0.499984740745262"/>
        </patternFill>
      </fill>
    </dxf>
    <dxf>
      <fill>
        <patternFill>
          <bgColor theme="0" tint="-0.14996795556505021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ill>
        <patternFill>
          <bgColor theme="1" tint="0.49998474074526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1" tint="0.499984740745262"/>
        </patternFill>
      </fill>
    </dxf>
    <dxf>
      <fill>
        <patternFill>
          <bgColor theme="0" tint="-0.14996795556505021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ill>
        <patternFill>
          <bgColor theme="1" tint="0.49998474074526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ill>
        <patternFill>
          <bgColor theme="1" tint="0.49998474074526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ill>
        <patternFill>
          <bgColor theme="1" tint="0.49998474074526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1" tint="0.499984740745262"/>
        </patternFill>
      </fill>
    </dxf>
    <dxf>
      <fill>
        <patternFill>
          <bgColor theme="0" tint="-0.14996795556505021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ill>
        <patternFill>
          <bgColor theme="1" tint="0.49998474074526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ill>
        <patternFill>
          <bgColor theme="1" tint="0.49998474074526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1" tint="0.49998474074526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1" tint="0.49998474074526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1" tint="0.499984740745262"/>
        </patternFill>
      </fill>
    </dxf>
    <dxf>
      <fill>
        <patternFill>
          <bgColor theme="0" tint="-0.14996795556505021"/>
        </patternFill>
      </fill>
    </dxf>
    <dxf>
      <fill>
        <patternFill>
          <bgColor theme="1" tint="0.49998474074526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ill>
        <patternFill>
          <bgColor theme="1" tint="0.49998474074526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ill>
        <patternFill>
          <bgColor theme="1" tint="0.49998474074526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ill>
        <patternFill>
          <bgColor theme="1" tint="0.49998474074526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ill>
        <patternFill>
          <bgColor theme="1" tint="0.49998474074526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ill>
        <patternFill>
          <bgColor theme="1" tint="0.49998474074526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1" tint="0.49998474074526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ill>
        <patternFill>
          <bgColor theme="1" tint="0.49998474074526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ill>
        <patternFill>
          <bgColor theme="1" tint="0.49998474074526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1" tint="0.49998474074526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1" tint="0.49998474074526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ill>
        <patternFill>
          <bgColor theme="0" tint="-0.14996795556505021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1" tint="0.49998474074526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1" tint="0.49998474074526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1" tint="0.49998474074526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1" tint="0.49998474074526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1" tint="0.499984740745262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theme="1" tint="0.499984740745262"/>
        </patternFill>
      </fill>
    </dxf>
    <dxf>
      <fill>
        <patternFill>
          <bgColor theme="0" tint="-0.14996795556505021"/>
        </patternFill>
      </fill>
    </dxf>
    <dxf>
      <font>
        <condense val="0"/>
        <extend val="0"/>
        <color rgb="FF9C0006"/>
      </font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theme="1" tint="0.499984740745262"/>
        </patternFill>
      </fill>
    </dxf>
    <dxf>
      <fill>
        <patternFill>
          <bgColor theme="0" tint="-0.14996795556505021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1" tint="0.499984740745262"/>
        </patternFill>
      </fill>
    </dxf>
    <dxf>
      <fill>
        <patternFill>
          <bgColor theme="0" tint="-0.14996795556505021"/>
        </patternFill>
      </fill>
    </dxf>
    <dxf>
      <font>
        <condense val="0"/>
        <extend val="0"/>
        <color rgb="FF9C0006"/>
      </font>
    </dxf>
    <dxf>
      <fill>
        <patternFill>
          <bgColor theme="1" tint="0.499984740745262"/>
        </patternFill>
      </fill>
    </dxf>
    <dxf>
      <fill>
        <patternFill>
          <bgColor theme="0" tint="-0.14996795556505021"/>
        </patternFill>
      </fill>
    </dxf>
    <dxf>
      <font>
        <condense val="0"/>
        <extend val="0"/>
        <color rgb="FF9C0006"/>
      </font>
    </dxf>
    <dxf>
      <fill>
        <patternFill>
          <bgColor theme="1" tint="0.499984740745262"/>
        </patternFill>
      </fill>
    </dxf>
    <dxf>
      <fill>
        <patternFill>
          <bgColor theme="0" tint="-0.14996795556505021"/>
        </patternFill>
      </fill>
    </dxf>
    <dxf>
      <font>
        <condense val="0"/>
        <extend val="0"/>
        <color rgb="FF9C0006"/>
      </font>
    </dxf>
    <dxf>
      <fill>
        <patternFill>
          <bgColor theme="1" tint="0.499984740745262"/>
        </patternFill>
      </fill>
    </dxf>
    <dxf>
      <fill>
        <patternFill>
          <bgColor theme="0" tint="-0.14996795556505021"/>
        </patternFill>
      </fill>
    </dxf>
    <dxf>
      <font>
        <condense val="0"/>
        <extend val="0"/>
        <color rgb="FF9C0006"/>
      </font>
    </dxf>
    <dxf>
      <fill>
        <patternFill>
          <bgColor theme="1" tint="0.499984740745262"/>
        </patternFill>
      </fill>
    </dxf>
    <dxf>
      <fill>
        <patternFill>
          <bgColor theme="0" tint="-0.14996795556505021"/>
        </patternFill>
      </fill>
    </dxf>
    <dxf>
      <font>
        <condense val="0"/>
        <extend val="0"/>
        <color rgb="FF9C0006"/>
      </font>
    </dxf>
    <dxf>
      <fill>
        <patternFill>
          <bgColor theme="1" tint="0.499984740745262"/>
        </patternFill>
      </fill>
    </dxf>
    <dxf>
      <fill>
        <patternFill>
          <bgColor theme="0" tint="-0.14996795556505021"/>
        </patternFill>
      </fill>
    </dxf>
    <dxf>
      <font>
        <condense val="0"/>
        <extend val="0"/>
        <color rgb="FF9C0006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ont>
        <condense val="0"/>
        <extend val="0"/>
        <color rgb="FF9C0006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theme="1" tint="0.499984740745262"/>
        </patternFill>
      </fill>
    </dxf>
    <dxf>
      <fill>
        <patternFill>
          <bgColor theme="0" tint="-0.14996795556505021"/>
        </patternFill>
      </fill>
    </dxf>
    <dxf>
      <font>
        <condense val="0"/>
        <extend val="0"/>
        <color rgb="FF9C0006"/>
      </font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theme="1" tint="0.499984740745262"/>
        </patternFill>
      </fill>
    </dxf>
    <dxf>
      <fill>
        <patternFill>
          <bgColor theme="0" tint="-0.14996795556505021"/>
        </patternFill>
      </fill>
    </dxf>
    <dxf>
      <font>
        <condense val="0"/>
        <extend val="0"/>
        <color rgb="FF9C0006"/>
      </font>
    </dxf>
    <dxf>
      <fill>
        <patternFill>
          <bgColor theme="0" tint="-0.14996795556505021"/>
        </patternFill>
      </fill>
    </dxf>
    <dxf>
      <fill>
        <patternFill>
          <bgColor theme="1" tint="0.499984740745262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ont>
        <condense val="0"/>
        <extend val="0"/>
        <color rgb="FF9C0006"/>
      </font>
    </dxf>
  </dxfs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F71"/>
  <sheetViews>
    <sheetView workbookViewId="0">
      <pane xSplit="2" ySplit="1" topLeftCell="AJ23" activePane="bottomRight" state="frozen"/>
      <selection pane="topRight" activeCell="C1" sqref="C1"/>
      <selection pane="bottomLeft" activeCell="A2" sqref="A2"/>
      <selection pane="bottomRight" activeCell="AX11" sqref="AX11"/>
    </sheetView>
  </sheetViews>
  <sheetFormatPr defaultRowHeight="14.4" x14ac:dyDescent="0.3"/>
  <cols>
    <col min="1" max="1" width="34" customWidth="1"/>
    <col min="2" max="2" width="11.5546875" customWidth="1"/>
    <col min="3" max="3" width="46.109375" customWidth="1"/>
    <col min="4" max="4" width="8.33203125" style="169" customWidth="1"/>
    <col min="5" max="5" width="40.88671875" bestFit="1" customWidth="1"/>
    <col min="6" max="6" width="11.5546875" style="169" bestFit="1" customWidth="1"/>
    <col min="7" max="8" width="10.33203125" customWidth="1"/>
    <col min="9" max="9" width="21.33203125" customWidth="1"/>
    <col min="10" max="11" width="10.109375" bestFit="1" customWidth="1"/>
    <col min="12" max="12" width="7.33203125" customWidth="1"/>
    <col min="13" max="13" width="6.44140625" customWidth="1"/>
    <col min="14" max="15" width="7.44140625" customWidth="1"/>
    <col min="16" max="16" width="11.5546875" customWidth="1"/>
    <col min="17" max="52" width="8.5546875" customWidth="1"/>
    <col min="53" max="53" width="9.88671875" bestFit="1" customWidth="1"/>
    <col min="54" max="54" width="12.33203125" customWidth="1"/>
    <col min="55" max="55" width="9.6640625" bestFit="1" customWidth="1"/>
    <col min="56" max="56" width="9.6640625" customWidth="1"/>
    <col min="57" max="57" width="14.5546875" bestFit="1" customWidth="1"/>
  </cols>
  <sheetData>
    <row r="1" spans="1:58" ht="15" customHeight="1" thickBot="1" x14ac:dyDescent="0.4">
      <c r="A1" s="36" t="s">
        <v>25</v>
      </c>
      <c r="Q1" s="565">
        <v>43831</v>
      </c>
      <c r="R1" s="566"/>
      <c r="S1" s="567"/>
      <c r="T1" s="543">
        <v>43862</v>
      </c>
      <c r="U1" s="543"/>
      <c r="V1" s="544"/>
      <c r="W1" s="542">
        <v>43891</v>
      </c>
      <c r="X1" s="543"/>
      <c r="Y1" s="544"/>
      <c r="Z1" s="542">
        <v>43922</v>
      </c>
      <c r="AA1" s="543"/>
      <c r="AB1" s="544"/>
      <c r="AC1" s="542">
        <v>43952</v>
      </c>
      <c r="AD1" s="543"/>
      <c r="AE1" s="544"/>
      <c r="AF1" s="542">
        <v>43983</v>
      </c>
      <c r="AG1" s="543"/>
      <c r="AH1" s="544"/>
      <c r="AI1" s="543">
        <v>44013</v>
      </c>
      <c r="AJ1" s="543"/>
      <c r="AK1" s="544"/>
      <c r="AL1" s="542">
        <v>44044</v>
      </c>
      <c r="AM1" s="543"/>
      <c r="AN1" s="544"/>
      <c r="AO1" s="542">
        <v>44075</v>
      </c>
      <c r="AP1" s="543"/>
      <c r="AQ1" s="544"/>
      <c r="AR1" s="542">
        <v>44105</v>
      </c>
      <c r="AS1" s="543"/>
      <c r="AT1" s="544"/>
      <c r="AU1" s="542">
        <v>44136</v>
      </c>
      <c r="AV1" s="543"/>
      <c r="AW1" s="544"/>
      <c r="AX1" s="542">
        <v>44166</v>
      </c>
      <c r="AY1" s="543"/>
      <c r="AZ1" s="544"/>
      <c r="BB1" s="100" t="s">
        <v>44</v>
      </c>
      <c r="BC1" s="101" t="s">
        <v>45</v>
      </c>
      <c r="BD1" s="290" t="s">
        <v>110</v>
      </c>
      <c r="BE1" s="102" t="s">
        <v>46</v>
      </c>
      <c r="BF1" s="270" t="s">
        <v>47</v>
      </c>
    </row>
    <row r="2" spans="1:58" ht="15" customHeight="1" x14ac:dyDescent="0.3">
      <c r="A2" s="292" t="s">
        <v>7</v>
      </c>
      <c r="B2" s="296">
        <v>5102</v>
      </c>
      <c r="C2" s="299" t="s">
        <v>111</v>
      </c>
      <c r="P2" s="38" t="s">
        <v>7</v>
      </c>
      <c r="Q2" s="90">
        <f t="shared" ref="Q2:Z7" si="0">SUMIF($P$12:$P$146,$P2,Q$12:Q$146)</f>
        <v>0.5</v>
      </c>
      <c r="R2" s="91">
        <f t="shared" si="0"/>
        <v>83.2</v>
      </c>
      <c r="S2" s="40">
        <f t="shared" si="0"/>
        <v>19005</v>
      </c>
      <c r="T2" s="92">
        <f t="shared" si="0"/>
        <v>0.7</v>
      </c>
      <c r="U2" s="93">
        <f t="shared" si="0"/>
        <v>107.2</v>
      </c>
      <c r="V2" s="43">
        <f t="shared" si="0"/>
        <v>25807</v>
      </c>
      <c r="W2" s="90">
        <f t="shared" si="0"/>
        <v>0.90000000000000013</v>
      </c>
      <c r="X2" s="91">
        <f t="shared" si="0"/>
        <v>158.4</v>
      </c>
      <c r="Y2" s="40">
        <f t="shared" si="0"/>
        <v>36503</v>
      </c>
      <c r="Z2" s="92">
        <f t="shared" si="0"/>
        <v>0.90000000000000013</v>
      </c>
      <c r="AA2" s="93">
        <f t="shared" ref="AA2:AJ7" si="1">SUMIF($P$12:$P$146,$P2,AA$12:AA$146)</f>
        <v>158.4</v>
      </c>
      <c r="AB2" s="43">
        <f t="shared" si="1"/>
        <v>36503</v>
      </c>
      <c r="AC2" s="90">
        <f t="shared" si="1"/>
        <v>0.3</v>
      </c>
      <c r="AD2" s="91">
        <f t="shared" si="1"/>
        <v>50.4</v>
      </c>
      <c r="AE2" s="40">
        <f t="shared" si="1"/>
        <v>12099.533333333333</v>
      </c>
      <c r="AF2" s="92">
        <f t="shared" si="1"/>
        <v>0.3</v>
      </c>
      <c r="AG2" s="93">
        <f t="shared" si="1"/>
        <v>52.400000000000006</v>
      </c>
      <c r="AH2" s="43">
        <f t="shared" si="1"/>
        <v>12099.533333333333</v>
      </c>
      <c r="AI2" s="90">
        <f t="shared" si="1"/>
        <v>0.3</v>
      </c>
      <c r="AJ2" s="91">
        <f t="shared" si="1"/>
        <v>52.800000000000004</v>
      </c>
      <c r="AK2" s="40">
        <f t="shared" ref="AK2:AT7" si="2">SUMIF($P$12:$P$146,$P2,AK$12:AK$146)</f>
        <v>12144.583333333332</v>
      </c>
      <c r="AL2" s="92">
        <f t="shared" si="2"/>
        <v>0.3</v>
      </c>
      <c r="AM2" s="93">
        <f t="shared" si="2"/>
        <v>44</v>
      </c>
      <c r="AN2" s="43">
        <f t="shared" si="2"/>
        <v>12144.583333333332</v>
      </c>
      <c r="AO2" s="90">
        <f t="shared" si="2"/>
        <v>0.35</v>
      </c>
      <c r="AP2" s="91">
        <f t="shared" si="2"/>
        <v>60</v>
      </c>
      <c r="AQ2" s="40">
        <f t="shared" si="2"/>
        <v>14071.633333333331</v>
      </c>
      <c r="AR2" s="92">
        <f t="shared" si="2"/>
        <v>0.35</v>
      </c>
      <c r="AS2" s="93">
        <f t="shared" si="2"/>
        <v>61.599999999999994</v>
      </c>
      <c r="AT2" s="43">
        <f t="shared" si="2"/>
        <v>14071.633333333331</v>
      </c>
      <c r="AU2" s="90">
        <f t="shared" ref="AU2:AZ7" si="3">SUMIF($P$12:$P$146,$P2,AU$12:AU$146)</f>
        <v>0.3</v>
      </c>
      <c r="AV2" s="91">
        <f t="shared" si="3"/>
        <v>43.839999999999996</v>
      </c>
      <c r="AW2" s="40">
        <f t="shared" si="3"/>
        <v>12098.204761904763</v>
      </c>
      <c r="AX2" s="92">
        <f t="shared" si="3"/>
        <v>0.3</v>
      </c>
      <c r="AY2" s="93">
        <f t="shared" si="3"/>
        <v>28.400000000000006</v>
      </c>
      <c r="AZ2" s="43">
        <f t="shared" si="3"/>
        <v>12098.204761904763</v>
      </c>
      <c r="BB2" s="389">
        <f>SUM(S2,V2,Y2,AB2,AE2,AH2,AK2,AN2,AQ2,AT2,AW2,AZ2)</f>
        <v>218645.9095238095</v>
      </c>
      <c r="BC2" s="390">
        <f>0.338*(SUMIFS(BA:BA,F:F,"HPP",P:P, BF2)+SUMIFS(BA:BA,F:F,"DPČ",P:P, BF2))</f>
        <v>73902.317419047627</v>
      </c>
      <c r="BD2" s="390">
        <f t="shared" ref="BD2:BD7" si="4">0.02*SUMIFS(BA:BA,F:F,"HPP",P:P, BF2)</f>
        <v>4372.9181904761908</v>
      </c>
      <c r="BE2" s="391">
        <f>SUM(BB2:BD2)</f>
        <v>296921.14513333334</v>
      </c>
      <c r="BF2" s="62" t="s">
        <v>7</v>
      </c>
    </row>
    <row r="3" spans="1:58" ht="15" customHeight="1" x14ac:dyDescent="0.3">
      <c r="A3" s="293" t="s">
        <v>6</v>
      </c>
      <c r="B3" s="297">
        <v>5106</v>
      </c>
      <c r="C3" s="300" t="s">
        <v>112</v>
      </c>
      <c r="P3" s="39" t="s">
        <v>6</v>
      </c>
      <c r="Q3" s="88">
        <f t="shared" si="0"/>
        <v>1500.3</v>
      </c>
      <c r="R3" s="60">
        <f>SUMIF($P$12:$P$146,$P3,R$12:R$146)</f>
        <v>129.6</v>
      </c>
      <c r="S3" s="41">
        <f t="shared" si="0"/>
        <v>51449</v>
      </c>
      <c r="T3" s="94">
        <f t="shared" si="0"/>
        <v>1500.5</v>
      </c>
      <c r="U3" s="61">
        <f t="shared" si="0"/>
        <v>156.80000000000001</v>
      </c>
      <c r="V3" s="44">
        <f t="shared" si="0"/>
        <v>58153</v>
      </c>
      <c r="W3" s="88">
        <f t="shared" si="0"/>
        <v>1500.7</v>
      </c>
      <c r="X3" s="60">
        <f t="shared" si="0"/>
        <v>203.2</v>
      </c>
      <c r="Y3" s="41">
        <f t="shared" si="0"/>
        <v>58251</v>
      </c>
      <c r="Z3" s="94">
        <f t="shared" si="0"/>
        <v>1500.7</v>
      </c>
      <c r="AA3" s="61">
        <f t="shared" si="1"/>
        <v>203.2</v>
      </c>
      <c r="AB3" s="44">
        <f t="shared" si="1"/>
        <v>68962</v>
      </c>
      <c r="AC3" s="88">
        <f t="shared" si="1"/>
        <v>1501.3</v>
      </c>
      <c r="AD3" s="60">
        <f t="shared" si="1"/>
        <v>298.40000000000003</v>
      </c>
      <c r="AE3" s="41">
        <f t="shared" si="1"/>
        <v>98990</v>
      </c>
      <c r="AF3" s="94">
        <f t="shared" si="1"/>
        <v>2001.3</v>
      </c>
      <c r="AG3" s="61">
        <f t="shared" si="1"/>
        <v>318</v>
      </c>
      <c r="AH3" s="44">
        <f t="shared" si="1"/>
        <v>103998</v>
      </c>
      <c r="AI3" s="88">
        <f t="shared" si="1"/>
        <v>2001.3</v>
      </c>
      <c r="AJ3" s="60">
        <f t="shared" si="1"/>
        <v>316</v>
      </c>
      <c r="AK3" s="41">
        <f t="shared" si="2"/>
        <v>104512</v>
      </c>
      <c r="AL3" s="94">
        <f t="shared" si="2"/>
        <v>2501.3000000000002</v>
      </c>
      <c r="AM3" s="61">
        <f t="shared" si="2"/>
        <v>260.39999999999998</v>
      </c>
      <c r="AN3" s="44">
        <f t="shared" si="2"/>
        <v>113784</v>
      </c>
      <c r="AO3" s="88">
        <f t="shared" si="2"/>
        <v>2501.3000000000002</v>
      </c>
      <c r="AP3" s="60">
        <f t="shared" si="2"/>
        <v>324.40000000000003</v>
      </c>
      <c r="AQ3" s="41">
        <f t="shared" si="2"/>
        <v>114477</v>
      </c>
      <c r="AR3" s="94">
        <f t="shared" si="2"/>
        <v>2801.3</v>
      </c>
      <c r="AS3" s="61">
        <f t="shared" si="2"/>
        <v>347.8</v>
      </c>
      <c r="AT3" s="44">
        <f t="shared" si="2"/>
        <v>117184.95</v>
      </c>
      <c r="AU3" s="88">
        <f t="shared" si="3"/>
        <v>2801.45</v>
      </c>
      <c r="AV3" s="60">
        <f t="shared" si="3"/>
        <v>363.2</v>
      </c>
      <c r="AW3" s="41">
        <f t="shared" si="3"/>
        <v>129962.95</v>
      </c>
      <c r="AX3" s="94">
        <f t="shared" si="3"/>
        <v>3301.45</v>
      </c>
      <c r="AY3" s="61">
        <f t="shared" si="3"/>
        <v>296.8</v>
      </c>
      <c r="AZ3" s="44">
        <f t="shared" si="3"/>
        <v>131362</v>
      </c>
      <c r="BB3" s="286">
        <f t="shared" ref="BB3:BB6" si="5">SUM(S3,V3,Y3,AB3,AE3,AH3,AK3,AN3,AQ3,AT3,AW3,AZ3)</f>
        <v>1151085.8999999999</v>
      </c>
      <c r="BC3" s="287">
        <f t="shared" ref="BC3:BC7" si="6">0.338*(SUMIFS(BA:BA,F:F,"HPP",P:P, BF3)+SUMIFS(BA:BA,F:F,"DPČ",P:P, BF3))</f>
        <v>271679.63420000003</v>
      </c>
      <c r="BD3" s="287">
        <f t="shared" si="4"/>
        <v>11275.718000000001</v>
      </c>
      <c r="BE3" s="288">
        <f>SUM(BB3:BD3)</f>
        <v>1434041.2522</v>
      </c>
      <c r="BF3" s="63" t="s">
        <v>6</v>
      </c>
    </row>
    <row r="4" spans="1:58" ht="15" customHeight="1" x14ac:dyDescent="0.3">
      <c r="A4" s="293" t="s">
        <v>9</v>
      </c>
      <c r="B4" s="297">
        <v>5108</v>
      </c>
      <c r="C4" s="300" t="s">
        <v>113</v>
      </c>
      <c r="P4" s="39" t="s">
        <v>9</v>
      </c>
      <c r="Q4" s="88">
        <f t="shared" si="0"/>
        <v>1.2</v>
      </c>
      <c r="R4" s="60">
        <f t="shared" si="0"/>
        <v>203.2</v>
      </c>
      <c r="S4" s="41">
        <f t="shared" si="0"/>
        <v>45816</v>
      </c>
      <c r="T4" s="94">
        <f t="shared" si="0"/>
        <v>501.7</v>
      </c>
      <c r="U4" s="61">
        <f t="shared" si="0"/>
        <v>274</v>
      </c>
      <c r="V4" s="44">
        <f t="shared" si="0"/>
        <v>67821</v>
      </c>
      <c r="W4" s="88">
        <f t="shared" si="0"/>
        <v>1002.3</v>
      </c>
      <c r="X4" s="60">
        <f t="shared" si="0"/>
        <v>434.79999999999995</v>
      </c>
      <c r="Y4" s="41">
        <f t="shared" si="0"/>
        <v>77821</v>
      </c>
      <c r="Z4" s="94">
        <f t="shared" si="0"/>
        <v>940.3</v>
      </c>
      <c r="AA4" s="61">
        <f t="shared" si="1"/>
        <v>434.79999999999995</v>
      </c>
      <c r="AB4" s="44">
        <f t="shared" si="1"/>
        <v>108979</v>
      </c>
      <c r="AC4" s="88">
        <f t="shared" si="1"/>
        <v>939.8</v>
      </c>
      <c r="AD4" s="60">
        <f t="shared" si="1"/>
        <v>332.4</v>
      </c>
      <c r="AE4" s="41">
        <f t="shared" si="1"/>
        <v>85325.133333333331</v>
      </c>
      <c r="AF4" s="94">
        <f t="shared" si="1"/>
        <v>939.8</v>
      </c>
      <c r="AG4" s="61">
        <f t="shared" si="1"/>
        <v>343.8</v>
      </c>
      <c r="AH4" s="44">
        <f t="shared" si="1"/>
        <v>85794.133333333331</v>
      </c>
      <c r="AI4" s="88">
        <f t="shared" si="1"/>
        <v>939.8</v>
      </c>
      <c r="AJ4" s="60">
        <f t="shared" si="1"/>
        <v>333.4</v>
      </c>
      <c r="AK4" s="41">
        <f>SUMIF($P$12:$P$146,$P4,AK$12:AK$146)</f>
        <v>86244.633333333331</v>
      </c>
      <c r="AL4" s="94">
        <f t="shared" si="2"/>
        <v>470.8</v>
      </c>
      <c r="AM4" s="61">
        <f t="shared" si="2"/>
        <v>269.39999999999998</v>
      </c>
      <c r="AN4" s="44">
        <f t="shared" si="2"/>
        <v>81554.633333333331</v>
      </c>
      <c r="AO4" s="88">
        <f t="shared" si="2"/>
        <v>471.25</v>
      </c>
      <c r="AP4" s="60">
        <f t="shared" si="2"/>
        <v>401</v>
      </c>
      <c r="AQ4" s="41">
        <f t="shared" si="2"/>
        <v>98943.133333333331</v>
      </c>
      <c r="AR4" s="94">
        <f t="shared" si="2"/>
        <v>471.25</v>
      </c>
      <c r="AS4" s="61">
        <f t="shared" si="2"/>
        <v>417</v>
      </c>
      <c r="AT4" s="44">
        <f t="shared" si="2"/>
        <v>98943.133333333331</v>
      </c>
      <c r="AU4" s="88">
        <f t="shared" si="3"/>
        <v>471.25</v>
      </c>
      <c r="AV4" s="60">
        <f t="shared" si="3"/>
        <v>353.48</v>
      </c>
      <c r="AW4" s="41">
        <f t="shared" si="3"/>
        <v>98943.561904761911</v>
      </c>
      <c r="AX4" s="94">
        <f t="shared" si="3"/>
        <v>471.25</v>
      </c>
      <c r="AY4" s="61">
        <f t="shared" si="3"/>
        <v>288.89999999999998</v>
      </c>
      <c r="AZ4" s="44">
        <f t="shared" si="3"/>
        <v>98943.561904761911</v>
      </c>
      <c r="BB4" s="286">
        <f t="shared" si="5"/>
        <v>1035128.9238095237</v>
      </c>
      <c r="BC4" s="287">
        <f>0.338*(SUMIFS(BA:BA,F:F,"HPP",P:P, BF4)+SUMIFS(BA:BA,F:F,"DPČ",P:P, BF4))</f>
        <v>307129.08224761905</v>
      </c>
      <c r="BD4" s="287">
        <f t="shared" si="4"/>
        <v>18173.318476190478</v>
      </c>
      <c r="BE4" s="288">
        <f t="shared" ref="BE4:BE6" si="7">SUM(BB4:BD4)</f>
        <v>1360431.3245333333</v>
      </c>
      <c r="BF4" s="63" t="s">
        <v>9</v>
      </c>
    </row>
    <row r="5" spans="1:58" ht="15" customHeight="1" x14ac:dyDescent="0.3">
      <c r="A5" s="293" t="s">
        <v>8</v>
      </c>
      <c r="B5" s="297">
        <v>5107</v>
      </c>
      <c r="C5" s="300" t="s">
        <v>114</v>
      </c>
      <c r="P5" s="39" t="s">
        <v>8</v>
      </c>
      <c r="Q5" s="88">
        <f t="shared" si="0"/>
        <v>0</v>
      </c>
      <c r="R5" s="60">
        <f t="shared" si="0"/>
        <v>0</v>
      </c>
      <c r="S5" s="41">
        <f t="shared" si="0"/>
        <v>0</v>
      </c>
      <c r="T5" s="94">
        <f t="shared" si="0"/>
        <v>0.1</v>
      </c>
      <c r="U5" s="61">
        <f t="shared" si="0"/>
        <v>16</v>
      </c>
      <c r="V5" s="44">
        <f t="shared" si="0"/>
        <v>3401</v>
      </c>
      <c r="W5" s="88">
        <f t="shared" si="0"/>
        <v>0.1</v>
      </c>
      <c r="X5" s="60">
        <f t="shared" si="0"/>
        <v>17.600000000000001</v>
      </c>
      <c r="Y5" s="41">
        <f t="shared" si="0"/>
        <v>3401</v>
      </c>
      <c r="Z5" s="94">
        <f t="shared" si="0"/>
        <v>0.1</v>
      </c>
      <c r="AA5" s="61">
        <f t="shared" si="1"/>
        <v>17.600000000000001</v>
      </c>
      <c r="AB5" s="44">
        <f t="shared" si="1"/>
        <v>3401</v>
      </c>
      <c r="AC5" s="88">
        <f t="shared" si="1"/>
        <v>0.1</v>
      </c>
      <c r="AD5" s="60">
        <f t="shared" si="1"/>
        <v>16.8</v>
      </c>
      <c r="AE5" s="41">
        <f t="shared" si="1"/>
        <v>3401</v>
      </c>
      <c r="AF5" s="94">
        <f t="shared" si="1"/>
        <v>0.1</v>
      </c>
      <c r="AG5" s="61">
        <f t="shared" si="1"/>
        <v>16.8</v>
      </c>
      <c r="AH5" s="44">
        <f t="shared" si="1"/>
        <v>3401</v>
      </c>
      <c r="AI5" s="88">
        <f t="shared" si="1"/>
        <v>0.1</v>
      </c>
      <c r="AJ5" s="60">
        <f t="shared" si="1"/>
        <v>16</v>
      </c>
      <c r="AK5" s="41">
        <f t="shared" si="2"/>
        <v>3401</v>
      </c>
      <c r="AL5" s="94">
        <f t="shared" si="2"/>
        <v>0.1</v>
      </c>
      <c r="AM5" s="61">
        <f t="shared" si="2"/>
        <v>15.200000000000001</v>
      </c>
      <c r="AN5" s="44">
        <f t="shared" si="2"/>
        <v>3401</v>
      </c>
      <c r="AO5" s="88">
        <f t="shared" si="2"/>
        <v>0.1</v>
      </c>
      <c r="AP5" s="60">
        <f t="shared" si="2"/>
        <v>17.600000000000001</v>
      </c>
      <c r="AQ5" s="41">
        <f t="shared" si="2"/>
        <v>3491.1000000000004</v>
      </c>
      <c r="AR5" s="94">
        <f t="shared" si="2"/>
        <v>0.1</v>
      </c>
      <c r="AS5" s="61">
        <f t="shared" si="2"/>
        <v>17.600000000000001</v>
      </c>
      <c r="AT5" s="44">
        <f t="shared" si="2"/>
        <v>3491.1000000000004</v>
      </c>
      <c r="AU5" s="88">
        <f t="shared" si="3"/>
        <v>0.1</v>
      </c>
      <c r="AV5" s="60">
        <f t="shared" si="3"/>
        <v>11.2</v>
      </c>
      <c r="AW5" s="41">
        <f t="shared" si="3"/>
        <v>3491.1000000000004</v>
      </c>
      <c r="AX5" s="94">
        <f t="shared" si="3"/>
        <v>0.1</v>
      </c>
      <c r="AY5" s="61">
        <f t="shared" si="3"/>
        <v>10.400000000000002</v>
      </c>
      <c r="AZ5" s="44">
        <f t="shared" si="3"/>
        <v>3491.1000000000004</v>
      </c>
      <c r="BB5" s="286">
        <f t="shared" si="5"/>
        <v>37771.399999999994</v>
      </c>
      <c r="BC5" s="287">
        <f t="shared" si="6"/>
        <v>12766.733199999999</v>
      </c>
      <c r="BD5" s="287">
        <f t="shared" si="4"/>
        <v>755.42799999999988</v>
      </c>
      <c r="BE5" s="288">
        <f t="shared" si="7"/>
        <v>51293.561199999996</v>
      </c>
      <c r="BF5" s="63" t="s">
        <v>8</v>
      </c>
    </row>
    <row r="6" spans="1:58" ht="15" customHeight="1" x14ac:dyDescent="0.3">
      <c r="A6" s="294" t="s">
        <v>29</v>
      </c>
      <c r="B6" s="297">
        <v>8517</v>
      </c>
      <c r="C6" s="300" t="s">
        <v>115</v>
      </c>
      <c r="P6" s="59" t="s">
        <v>29</v>
      </c>
      <c r="Q6" s="88">
        <f t="shared" si="0"/>
        <v>0</v>
      </c>
      <c r="R6" s="60">
        <f t="shared" si="0"/>
        <v>0</v>
      </c>
      <c r="S6" s="41">
        <f t="shared" si="0"/>
        <v>0</v>
      </c>
      <c r="T6" s="94">
        <f t="shared" si="0"/>
        <v>0</v>
      </c>
      <c r="U6" s="61">
        <f t="shared" si="0"/>
        <v>0</v>
      </c>
      <c r="V6" s="44">
        <f t="shared" si="0"/>
        <v>0</v>
      </c>
      <c r="W6" s="88">
        <f t="shared" si="0"/>
        <v>0</v>
      </c>
      <c r="X6" s="60">
        <f t="shared" si="0"/>
        <v>0</v>
      </c>
      <c r="Y6" s="41">
        <f t="shared" si="0"/>
        <v>0</v>
      </c>
      <c r="Z6" s="94">
        <f t="shared" si="0"/>
        <v>0</v>
      </c>
      <c r="AA6" s="61">
        <f t="shared" si="1"/>
        <v>0</v>
      </c>
      <c r="AB6" s="44">
        <f t="shared" si="1"/>
        <v>0</v>
      </c>
      <c r="AC6" s="88">
        <f t="shared" si="1"/>
        <v>1400.75</v>
      </c>
      <c r="AD6" s="60">
        <f t="shared" si="1"/>
        <v>238</v>
      </c>
      <c r="AE6" s="41">
        <f t="shared" si="1"/>
        <v>66727.833333333328</v>
      </c>
      <c r="AF6" s="94">
        <f t="shared" si="1"/>
        <v>1400.75</v>
      </c>
      <c r="AG6" s="61">
        <f t="shared" si="1"/>
        <v>242</v>
      </c>
      <c r="AH6" s="44">
        <f t="shared" si="1"/>
        <v>66727.833333333328</v>
      </c>
      <c r="AI6" s="88">
        <f t="shared" si="1"/>
        <v>1400.75</v>
      </c>
      <c r="AJ6" s="60">
        <f t="shared" si="1"/>
        <v>232</v>
      </c>
      <c r="AK6" s="41">
        <f t="shared" si="2"/>
        <v>66727.833333333328</v>
      </c>
      <c r="AL6" s="94">
        <f t="shared" si="2"/>
        <v>1400.75</v>
      </c>
      <c r="AM6" s="61">
        <f t="shared" si="2"/>
        <v>219</v>
      </c>
      <c r="AN6" s="44">
        <f t="shared" si="2"/>
        <v>66727.833333333328</v>
      </c>
      <c r="AO6" s="88">
        <f t="shared" si="2"/>
        <v>1400.75</v>
      </c>
      <c r="AP6" s="60">
        <f t="shared" si="2"/>
        <v>244</v>
      </c>
      <c r="AQ6" s="41">
        <f t="shared" si="2"/>
        <v>66953.083333333328</v>
      </c>
      <c r="AR6" s="94">
        <f t="shared" si="2"/>
        <v>1600.75</v>
      </c>
      <c r="AS6" s="61">
        <f t="shared" si="2"/>
        <v>252</v>
      </c>
      <c r="AT6" s="44">
        <f t="shared" si="2"/>
        <v>68553.083333333328</v>
      </c>
      <c r="AU6" s="88">
        <f t="shared" si="3"/>
        <v>1600.85</v>
      </c>
      <c r="AV6" s="60">
        <f t="shared" si="3"/>
        <v>241.56</v>
      </c>
      <c r="AW6" s="41">
        <f t="shared" si="3"/>
        <v>75700.226190476184</v>
      </c>
      <c r="AX6" s="94">
        <f t="shared" si="3"/>
        <v>1600.85</v>
      </c>
      <c r="AY6" s="61">
        <f t="shared" si="3"/>
        <v>228.2</v>
      </c>
      <c r="AZ6" s="44">
        <f t="shared" si="3"/>
        <v>75700.226190476184</v>
      </c>
      <c r="BB6" s="286">
        <f t="shared" si="5"/>
        <v>553817.95238095231</v>
      </c>
      <c r="BC6" s="287">
        <f t="shared" si="6"/>
        <v>77408.067904761905</v>
      </c>
      <c r="BD6" s="287">
        <f t="shared" si="4"/>
        <v>4580.3590476190475</v>
      </c>
      <c r="BE6" s="288">
        <f t="shared" si="7"/>
        <v>635806.37933333323</v>
      </c>
      <c r="BF6" s="64" t="s">
        <v>29</v>
      </c>
    </row>
    <row r="7" spans="1:58" ht="15" customHeight="1" thickBot="1" x14ac:dyDescent="0.35">
      <c r="A7" s="295" t="s">
        <v>30</v>
      </c>
      <c r="B7" s="298">
        <v>8518</v>
      </c>
      <c r="C7" s="301" t="s">
        <v>116</v>
      </c>
      <c r="P7" s="39" t="s">
        <v>30</v>
      </c>
      <c r="Q7" s="89">
        <f t="shared" si="0"/>
        <v>0</v>
      </c>
      <c r="R7" s="66">
        <f t="shared" si="0"/>
        <v>0</v>
      </c>
      <c r="S7" s="42">
        <f t="shared" si="0"/>
        <v>0</v>
      </c>
      <c r="T7" s="95">
        <f t="shared" si="0"/>
        <v>0</v>
      </c>
      <c r="U7" s="67">
        <f t="shared" si="0"/>
        <v>0</v>
      </c>
      <c r="V7" s="45">
        <f t="shared" si="0"/>
        <v>0</v>
      </c>
      <c r="W7" s="89">
        <f t="shared" si="0"/>
        <v>0</v>
      </c>
      <c r="X7" s="66">
        <f t="shared" si="0"/>
        <v>0</v>
      </c>
      <c r="Y7" s="42">
        <f t="shared" si="0"/>
        <v>0</v>
      </c>
      <c r="Z7" s="95">
        <f t="shared" si="0"/>
        <v>0</v>
      </c>
      <c r="AA7" s="67">
        <f t="shared" si="1"/>
        <v>0</v>
      </c>
      <c r="AB7" s="45">
        <f t="shared" si="1"/>
        <v>0</v>
      </c>
      <c r="AC7" s="89">
        <f t="shared" si="1"/>
        <v>0</v>
      </c>
      <c r="AD7" s="66">
        <f t="shared" si="1"/>
        <v>0</v>
      </c>
      <c r="AE7" s="42">
        <f t="shared" si="1"/>
        <v>0</v>
      </c>
      <c r="AF7" s="95">
        <f t="shared" si="1"/>
        <v>0</v>
      </c>
      <c r="AG7" s="67">
        <f t="shared" si="1"/>
        <v>0</v>
      </c>
      <c r="AH7" s="45">
        <f t="shared" si="1"/>
        <v>0</v>
      </c>
      <c r="AI7" s="89">
        <f t="shared" si="1"/>
        <v>0</v>
      </c>
      <c r="AJ7" s="66">
        <f t="shared" si="1"/>
        <v>0</v>
      </c>
      <c r="AK7" s="42">
        <f t="shared" si="2"/>
        <v>0</v>
      </c>
      <c r="AL7" s="95">
        <f t="shared" si="2"/>
        <v>0</v>
      </c>
      <c r="AM7" s="67">
        <f t="shared" si="2"/>
        <v>0</v>
      </c>
      <c r="AN7" s="45">
        <f t="shared" si="2"/>
        <v>0</v>
      </c>
      <c r="AO7" s="89">
        <f t="shared" si="2"/>
        <v>0</v>
      </c>
      <c r="AP7" s="66">
        <f t="shared" si="2"/>
        <v>0</v>
      </c>
      <c r="AQ7" s="42">
        <f t="shared" si="2"/>
        <v>0</v>
      </c>
      <c r="AR7" s="95">
        <f t="shared" si="2"/>
        <v>0</v>
      </c>
      <c r="AS7" s="67">
        <f t="shared" si="2"/>
        <v>0</v>
      </c>
      <c r="AT7" s="45">
        <f t="shared" si="2"/>
        <v>0</v>
      </c>
      <c r="AU7" s="89">
        <f t="shared" si="3"/>
        <v>3500</v>
      </c>
      <c r="AV7" s="66">
        <f t="shared" si="3"/>
        <v>182</v>
      </c>
      <c r="AW7" s="42">
        <f t="shared" si="3"/>
        <v>63700</v>
      </c>
      <c r="AX7" s="95">
        <f t="shared" si="3"/>
        <v>3500</v>
      </c>
      <c r="AY7" s="67">
        <f t="shared" si="3"/>
        <v>168</v>
      </c>
      <c r="AZ7" s="45">
        <f t="shared" si="3"/>
        <v>58800</v>
      </c>
      <c r="BB7" s="289">
        <f>SUM(S7,V7,Y7,AB7,AE7,AH7,AK7,AN7,AQ7,AT7,AW7,AZ7)</f>
        <v>122500</v>
      </c>
      <c r="BC7" s="311">
        <f t="shared" si="6"/>
        <v>0</v>
      </c>
      <c r="BD7" s="311">
        <f t="shared" si="4"/>
        <v>0</v>
      </c>
      <c r="BE7" s="334">
        <f>SUM(BB7:BD7)</f>
        <v>122500</v>
      </c>
      <c r="BF7" s="65" t="s">
        <v>30</v>
      </c>
    </row>
    <row r="8" spans="1:58" ht="15" thickBot="1" x14ac:dyDescent="0.35"/>
    <row r="9" spans="1:58" ht="15" customHeight="1" thickBot="1" x14ac:dyDescent="0.35">
      <c r="J9" s="553" t="s">
        <v>37</v>
      </c>
      <c r="K9" s="554"/>
      <c r="L9" s="554"/>
      <c r="M9" s="554"/>
      <c r="N9" s="554"/>
      <c r="O9" s="555"/>
      <c r="P9" s="547" t="s">
        <v>26</v>
      </c>
      <c r="Q9" s="542">
        <v>43831</v>
      </c>
      <c r="R9" s="543"/>
      <c r="S9" s="544"/>
      <c r="T9" s="543">
        <v>43862</v>
      </c>
      <c r="U9" s="543"/>
      <c r="V9" s="544"/>
      <c r="W9" s="542">
        <v>43891</v>
      </c>
      <c r="X9" s="543"/>
      <c r="Y9" s="544"/>
      <c r="Z9" s="542">
        <v>43922</v>
      </c>
      <c r="AA9" s="543"/>
      <c r="AB9" s="544"/>
      <c r="AC9" s="542">
        <v>43952</v>
      </c>
      <c r="AD9" s="543"/>
      <c r="AE9" s="544"/>
      <c r="AF9" s="542">
        <v>43983</v>
      </c>
      <c r="AG9" s="543"/>
      <c r="AH9" s="544"/>
      <c r="AI9" s="542">
        <v>44013</v>
      </c>
      <c r="AJ9" s="543"/>
      <c r="AK9" s="544"/>
      <c r="AL9" s="542">
        <v>44044</v>
      </c>
      <c r="AM9" s="543"/>
      <c r="AN9" s="544"/>
      <c r="AO9" s="542">
        <v>44075</v>
      </c>
      <c r="AP9" s="543"/>
      <c r="AQ9" s="544"/>
      <c r="AR9" s="542">
        <v>44105</v>
      </c>
      <c r="AS9" s="543"/>
      <c r="AT9" s="544"/>
      <c r="AU9" s="542">
        <v>44136</v>
      </c>
      <c r="AV9" s="543"/>
      <c r="AW9" s="544"/>
      <c r="AX9" s="542">
        <v>44166</v>
      </c>
      <c r="AY9" s="543"/>
      <c r="AZ9" s="543"/>
      <c r="BA9" s="282" t="s">
        <v>109</v>
      </c>
    </row>
    <row r="10" spans="1:58" ht="15" thickBot="1" x14ac:dyDescent="0.35">
      <c r="A10" s="151"/>
      <c r="B10" s="335"/>
      <c r="C10" s="153"/>
      <c r="J10" s="556"/>
      <c r="K10" s="557"/>
      <c r="L10" s="557"/>
      <c r="M10" s="557"/>
      <c r="N10" s="557"/>
      <c r="O10" s="558"/>
      <c r="P10" s="548"/>
      <c r="Q10" s="550">
        <v>184</v>
      </c>
      <c r="R10" s="551"/>
      <c r="S10" s="552"/>
      <c r="T10" s="562">
        <v>160</v>
      </c>
      <c r="U10" s="563"/>
      <c r="V10" s="568"/>
      <c r="W10" s="559">
        <v>176</v>
      </c>
      <c r="X10" s="560"/>
      <c r="Y10" s="561"/>
      <c r="Z10" s="562">
        <v>176</v>
      </c>
      <c r="AA10" s="563"/>
      <c r="AB10" s="568"/>
      <c r="AC10" s="559">
        <v>168</v>
      </c>
      <c r="AD10" s="560"/>
      <c r="AE10" s="561"/>
      <c r="AF10" s="562">
        <v>176</v>
      </c>
      <c r="AG10" s="563"/>
      <c r="AH10" s="568"/>
      <c r="AI10" s="559">
        <v>184</v>
      </c>
      <c r="AJ10" s="560"/>
      <c r="AK10" s="561"/>
      <c r="AL10" s="562">
        <v>168</v>
      </c>
      <c r="AM10" s="563"/>
      <c r="AN10" s="568"/>
      <c r="AO10" s="559">
        <v>176</v>
      </c>
      <c r="AP10" s="560"/>
      <c r="AQ10" s="561"/>
      <c r="AR10" s="562">
        <v>176</v>
      </c>
      <c r="AS10" s="563"/>
      <c r="AT10" s="568"/>
      <c r="AU10" s="559">
        <v>168</v>
      </c>
      <c r="AV10" s="560"/>
      <c r="AW10" s="561"/>
      <c r="AX10" s="562">
        <v>184</v>
      </c>
      <c r="AY10" s="563"/>
      <c r="AZ10" s="564"/>
      <c r="BA10" s="283">
        <f>SUM(Q10:AZ10)</f>
        <v>2096</v>
      </c>
    </row>
    <row r="11" spans="1:58" ht="42" customHeight="1" thickBot="1" x14ac:dyDescent="0.35">
      <c r="A11" s="165" t="s">
        <v>51</v>
      </c>
      <c r="B11" s="150" t="s">
        <v>26</v>
      </c>
      <c r="C11" s="68" t="s">
        <v>56</v>
      </c>
      <c r="D11" s="68" t="s">
        <v>52</v>
      </c>
      <c r="E11" s="68" t="s">
        <v>60</v>
      </c>
      <c r="F11" s="68" t="s">
        <v>53</v>
      </c>
      <c r="G11" s="68" t="s">
        <v>54</v>
      </c>
      <c r="H11" s="68" t="s">
        <v>94</v>
      </c>
      <c r="I11" s="207" t="s">
        <v>55</v>
      </c>
      <c r="J11" s="147" t="s">
        <v>38</v>
      </c>
      <c r="K11" s="148" t="s">
        <v>39</v>
      </c>
      <c r="L11" s="148" t="s">
        <v>40</v>
      </c>
      <c r="M11" s="148" t="s">
        <v>41</v>
      </c>
      <c r="N11" s="148" t="s">
        <v>42</v>
      </c>
      <c r="O11" s="149" t="s">
        <v>43</v>
      </c>
      <c r="P11" s="549"/>
      <c r="Q11" s="53" t="s">
        <v>0</v>
      </c>
      <c r="R11" s="54" t="s">
        <v>28</v>
      </c>
      <c r="S11" s="55" t="s">
        <v>17</v>
      </c>
      <c r="T11" s="56" t="s">
        <v>0</v>
      </c>
      <c r="U11" s="57" t="s">
        <v>28</v>
      </c>
      <c r="V11" s="58" t="s">
        <v>17</v>
      </c>
      <c r="W11" s="53" t="s">
        <v>0</v>
      </c>
      <c r="X11" s="54" t="s">
        <v>28</v>
      </c>
      <c r="Y11" s="55" t="s">
        <v>17</v>
      </c>
      <c r="Z11" s="56" t="s">
        <v>0</v>
      </c>
      <c r="AA11" s="57" t="s">
        <v>28</v>
      </c>
      <c r="AB11" s="58" t="s">
        <v>17</v>
      </c>
      <c r="AC11" s="53" t="s">
        <v>0</v>
      </c>
      <c r="AD11" s="54" t="s">
        <v>28</v>
      </c>
      <c r="AE11" s="55" t="s">
        <v>17</v>
      </c>
      <c r="AF11" s="56" t="s">
        <v>0</v>
      </c>
      <c r="AG11" s="57" t="s">
        <v>28</v>
      </c>
      <c r="AH11" s="58" t="s">
        <v>17</v>
      </c>
      <c r="AI11" s="53" t="s">
        <v>0</v>
      </c>
      <c r="AJ11" s="54" t="s">
        <v>28</v>
      </c>
      <c r="AK11" s="55" t="s">
        <v>17</v>
      </c>
      <c r="AL11" s="56" t="s">
        <v>0</v>
      </c>
      <c r="AM11" s="57" t="s">
        <v>28</v>
      </c>
      <c r="AN11" s="58" t="s">
        <v>17</v>
      </c>
      <c r="AO11" s="53" t="s">
        <v>0</v>
      </c>
      <c r="AP11" s="54" t="s">
        <v>28</v>
      </c>
      <c r="AQ11" s="55" t="s">
        <v>17</v>
      </c>
      <c r="AR11" s="56" t="s">
        <v>0</v>
      </c>
      <c r="AS11" s="57" t="s">
        <v>28</v>
      </c>
      <c r="AT11" s="58" t="s">
        <v>17</v>
      </c>
      <c r="AU11" s="53" t="s">
        <v>0</v>
      </c>
      <c r="AV11" s="54" t="s">
        <v>28</v>
      </c>
      <c r="AW11" s="55" t="s">
        <v>17</v>
      </c>
      <c r="AX11" s="56" t="s">
        <v>0</v>
      </c>
      <c r="AY11" s="57" t="s">
        <v>28</v>
      </c>
      <c r="AZ11" s="273" t="s">
        <v>17</v>
      </c>
      <c r="BA11" s="284" t="s">
        <v>17</v>
      </c>
    </row>
    <row r="12" spans="1:58" ht="15" thickBot="1" x14ac:dyDescent="0.35">
      <c r="A12" s="539" t="s">
        <v>62</v>
      </c>
      <c r="B12" s="62" t="s">
        <v>7</v>
      </c>
      <c r="C12" s="216" t="s">
        <v>57</v>
      </c>
      <c r="D12" s="170">
        <v>0.2</v>
      </c>
      <c r="E12" s="3"/>
      <c r="F12" s="181" t="s">
        <v>50</v>
      </c>
      <c r="G12" s="132">
        <v>42522</v>
      </c>
      <c r="H12" s="221"/>
      <c r="I12" s="138"/>
      <c r="J12" s="110">
        <v>43831</v>
      </c>
      <c r="K12" s="5">
        <v>44135</v>
      </c>
      <c r="L12" s="109" t="s">
        <v>14</v>
      </c>
      <c r="M12" s="22">
        <f>10941+3647+3647</f>
        <v>18235</v>
      </c>
      <c r="N12" s="22">
        <f>300+300+900</f>
        <v>1500</v>
      </c>
      <c r="O12" s="23">
        <f>N12+M12</f>
        <v>19735</v>
      </c>
      <c r="P12" s="125" t="s">
        <v>7</v>
      </c>
      <c r="Q12" s="118">
        <v>0.1</v>
      </c>
      <c r="R12" s="215">
        <f>(Q$10*Q12)-(R$17*Q12)</f>
        <v>17.600000000000001</v>
      </c>
      <c r="S12" s="213">
        <f>(1/Q$16)*IF(Q$9&lt;$K$12,$O$12,$O$13)*Q12</f>
        <v>3947</v>
      </c>
      <c r="T12" s="118">
        <v>0.1</v>
      </c>
      <c r="U12" s="215">
        <f t="shared" ref="U12" si="8">(T$10*T12)-(U$17*T12)</f>
        <v>16</v>
      </c>
      <c r="V12" s="213">
        <f t="shared" ref="V12:V15" si="9">(1/T$16)*IF(T$9&lt;$K$12,$O$12,$O$13)*T12</f>
        <v>3947</v>
      </c>
      <c r="W12" s="118">
        <v>0.1</v>
      </c>
      <c r="X12" s="215">
        <f t="shared" ref="X12" si="10">(W$10*W12)-(X$17*W12)</f>
        <v>17.600000000000001</v>
      </c>
      <c r="Y12" s="213">
        <f t="shared" ref="Y12:Y15" si="11">(1/W$16)*IF(W$9&lt;$K$12,$O$12,$O$13)*W12</f>
        <v>3947</v>
      </c>
      <c r="Z12" s="118">
        <v>0.1</v>
      </c>
      <c r="AA12" s="215">
        <f t="shared" ref="AA12" si="12">(Z$10*Z12)-(AA$17*Z12)</f>
        <v>17.600000000000001</v>
      </c>
      <c r="AB12" s="213">
        <f t="shared" ref="AB12:AB15" si="13">(1/Z$16)*IF(Z$9&lt;$K$12,$O$12,$O$13)*Z12</f>
        <v>3947</v>
      </c>
      <c r="AC12" s="118">
        <v>0.1</v>
      </c>
      <c r="AD12" s="215">
        <f t="shared" ref="AD12" si="14">(AC$10*AC12)-(AD$17*AC12)</f>
        <v>16.8</v>
      </c>
      <c r="AE12" s="213">
        <f t="shared" ref="AE12:AE15" si="15">(1/AC$16)*IF(AC$9&lt;$K$12,$O$12,$O$13)*AC12</f>
        <v>3947</v>
      </c>
      <c r="AF12" s="118">
        <v>0.1</v>
      </c>
      <c r="AG12" s="215">
        <f t="shared" ref="AG12" si="16">(AF$10*AF12)-(AG$17*AF12)</f>
        <v>17.600000000000001</v>
      </c>
      <c r="AH12" s="213">
        <f t="shared" ref="AH12:AH15" si="17">(1/AF$16)*IF(AF$9&lt;$K$12,$O$12,$O$13)*AF12</f>
        <v>3947</v>
      </c>
      <c r="AI12" s="118">
        <v>0.1</v>
      </c>
      <c r="AJ12" s="215">
        <f t="shared" ref="AJ12" si="18">(AI$10*AI12)-(AJ$17*AI12)</f>
        <v>18.400000000000002</v>
      </c>
      <c r="AK12" s="213">
        <f t="shared" ref="AK12:AK15" si="19">(1/AI$16)*IF(AI$9&lt;$K$12,$O$12,$O$13)*AI12</f>
        <v>3947</v>
      </c>
      <c r="AL12" s="118">
        <v>0.1</v>
      </c>
      <c r="AM12" s="215">
        <f t="shared" ref="AM12" si="20">(AL$10*AL12)-(AM$17*AL12)</f>
        <v>16.8</v>
      </c>
      <c r="AN12" s="213">
        <f t="shared" ref="AN12:AN15" si="21">(1/AL$16)*IF(AL$9&lt;$K$12,$O$12,$O$13)*AL12</f>
        <v>3947</v>
      </c>
      <c r="AO12" s="118">
        <v>0.1</v>
      </c>
      <c r="AP12" s="215">
        <f t="shared" ref="AP12" si="22">(AO$10*AO12)-(AP$17*AO12)</f>
        <v>17.600000000000001</v>
      </c>
      <c r="AQ12" s="213">
        <f t="shared" ref="AQ12:AQ15" si="23">(1/AO$16)*IF(AO$9&lt;$K$12,$O$12,$O$13)*AO12</f>
        <v>3947</v>
      </c>
      <c r="AR12" s="118">
        <v>0.1</v>
      </c>
      <c r="AS12" s="215">
        <f t="shared" ref="AS12" si="24">(AR$10*AR12)-(AS$17*AR12)</f>
        <v>17.600000000000001</v>
      </c>
      <c r="AT12" s="213">
        <f t="shared" ref="AT12:AT15" si="25">(1/AR$16)*IF(AR$9&lt;$K$12,$O$12,$O$13)*AR12</f>
        <v>3947</v>
      </c>
      <c r="AU12" s="118">
        <v>0.05</v>
      </c>
      <c r="AV12" s="215">
        <f t="shared" ref="AV12" si="26">(AU$10*AU12)-(AV$17*AU12)</f>
        <v>7.28</v>
      </c>
      <c r="AW12" s="213">
        <f t="shared" ref="AW12:AW14" si="27">(1/AU$16)*IF(AU$9&lt;$K$12,$O$12,$O$13)*AU12</f>
        <v>1973.5714285714287</v>
      </c>
      <c r="AX12" s="118">
        <v>0.05</v>
      </c>
      <c r="AY12" s="215">
        <f t="shared" ref="AY12" si="28">(AX$10*AX12)-(AY$17*AX12)</f>
        <v>3.6000000000000005</v>
      </c>
      <c r="AZ12" s="213">
        <f>(1/AX$16)*IF(AX$9&lt;$K$12,$O$12,$O$13)*AX12</f>
        <v>1973.5714285714287</v>
      </c>
      <c r="BA12" s="285">
        <f>SUM(S12,V12,Y12,AB12,AE12,AH12,AK12,AN12,AQ12,AT12,AW12,AZ12)</f>
        <v>43417.142857142855</v>
      </c>
    </row>
    <row r="13" spans="1:58" ht="15" thickBot="1" x14ac:dyDescent="0.35">
      <c r="A13" s="540"/>
      <c r="B13" s="166" t="s">
        <v>6</v>
      </c>
      <c r="C13" s="217" t="s">
        <v>58</v>
      </c>
      <c r="D13" s="171"/>
      <c r="E13" s="4" t="s">
        <v>59</v>
      </c>
      <c r="F13" s="182" t="s">
        <v>50</v>
      </c>
      <c r="G13" s="5">
        <v>43831</v>
      </c>
      <c r="H13" s="222">
        <v>45230</v>
      </c>
      <c r="I13" s="18"/>
      <c r="J13" s="110">
        <v>44136</v>
      </c>
      <c r="K13" s="5">
        <v>44196</v>
      </c>
      <c r="L13" s="109" t="s">
        <v>14</v>
      </c>
      <c r="M13" s="22">
        <v>25530</v>
      </c>
      <c r="N13" s="22">
        <v>2100</v>
      </c>
      <c r="O13" s="23">
        <f>N13+M13</f>
        <v>27630</v>
      </c>
      <c r="P13" s="31" t="s">
        <v>6</v>
      </c>
      <c r="Q13" s="24">
        <v>0.1</v>
      </c>
      <c r="R13" s="96">
        <f>(Q$10*Q13)-(R$17*Q13)</f>
        <v>17.600000000000001</v>
      </c>
      <c r="S13" s="21">
        <f>(1/Q$16)*IF(Q$9&lt;$K$12,$O$12,$O$13)*Q13</f>
        <v>3947</v>
      </c>
      <c r="T13" s="24">
        <v>0.1</v>
      </c>
      <c r="U13" s="96">
        <f t="shared" ref="U13" si="29">(T$10*T13)-(U$17*T13)</f>
        <v>16</v>
      </c>
      <c r="V13" s="21">
        <f t="shared" si="9"/>
        <v>3947</v>
      </c>
      <c r="W13" s="24">
        <v>0.1</v>
      </c>
      <c r="X13" s="96">
        <f t="shared" ref="X13" si="30">(W$10*W13)-(X$17*W13)</f>
        <v>17.600000000000001</v>
      </c>
      <c r="Y13" s="21">
        <f t="shared" si="11"/>
        <v>3947</v>
      </c>
      <c r="Z13" s="24">
        <v>0.1</v>
      </c>
      <c r="AA13" s="96">
        <f t="shared" ref="AA13" si="31">(Z$10*Z13)-(AA$17*Z13)</f>
        <v>17.600000000000001</v>
      </c>
      <c r="AB13" s="21">
        <f t="shared" si="13"/>
        <v>3947</v>
      </c>
      <c r="AC13" s="24">
        <v>0.1</v>
      </c>
      <c r="AD13" s="96">
        <f t="shared" ref="AD13" si="32">(AC$10*AC13)-(AD$17*AC13)</f>
        <v>16.8</v>
      </c>
      <c r="AE13" s="21">
        <f t="shared" si="15"/>
        <v>3947</v>
      </c>
      <c r="AF13" s="24">
        <v>0.1</v>
      </c>
      <c r="AG13" s="96">
        <f t="shared" ref="AG13" si="33">(AF$10*AF13)-(AG$17*AF13)</f>
        <v>17.600000000000001</v>
      </c>
      <c r="AH13" s="21">
        <f t="shared" si="17"/>
        <v>3947</v>
      </c>
      <c r="AI13" s="24">
        <v>0.1</v>
      </c>
      <c r="AJ13" s="96">
        <f t="shared" ref="AJ13" si="34">(AI$10*AI13)-(AJ$17*AI13)</f>
        <v>18.400000000000002</v>
      </c>
      <c r="AK13" s="21">
        <f t="shared" si="19"/>
        <v>3947</v>
      </c>
      <c r="AL13" s="24">
        <v>0.1</v>
      </c>
      <c r="AM13" s="96">
        <f>(AL$10*AL13)-(AM$17*AL13)</f>
        <v>16.8</v>
      </c>
      <c r="AN13" s="21">
        <f t="shared" si="21"/>
        <v>3947</v>
      </c>
      <c r="AO13" s="24">
        <v>0.1</v>
      </c>
      <c r="AP13" s="96">
        <f>(AO$10*AO13)-(AP$17*AO13)</f>
        <v>17.600000000000001</v>
      </c>
      <c r="AQ13" s="21">
        <f t="shared" si="23"/>
        <v>3947</v>
      </c>
      <c r="AR13" s="24">
        <v>0.1</v>
      </c>
      <c r="AS13" s="96">
        <f>(AR$10*AR13)-(AS$17*AR13)</f>
        <v>17.600000000000001</v>
      </c>
      <c r="AT13" s="21">
        <f t="shared" si="25"/>
        <v>3947</v>
      </c>
      <c r="AU13" s="450">
        <v>0.25</v>
      </c>
      <c r="AV13" s="96">
        <f>(AU$10*AU13)-(AV$17*AU13)</f>
        <v>36.4</v>
      </c>
      <c r="AW13" s="21">
        <v>9783</v>
      </c>
      <c r="AX13" s="24">
        <v>0.25</v>
      </c>
      <c r="AY13" s="96">
        <f>(AX$10*AX13)-(AY$17*AX13)</f>
        <v>18</v>
      </c>
      <c r="AZ13" s="21">
        <v>10258</v>
      </c>
      <c r="BA13" s="285">
        <f>SUM(S13,V13,Y13,AB13,AE13,AH13,AK13,AN13,AQ13,AT13,AW13,AZ13)</f>
        <v>59511</v>
      </c>
    </row>
    <row r="14" spans="1:58" ht="15" thickBot="1" x14ac:dyDescent="0.35">
      <c r="A14" s="540"/>
      <c r="B14" s="63" t="s">
        <v>9</v>
      </c>
      <c r="C14" s="217" t="s">
        <v>58</v>
      </c>
      <c r="D14" s="171"/>
      <c r="E14" s="4"/>
      <c r="F14" s="182" t="s">
        <v>50</v>
      </c>
      <c r="G14" s="5">
        <v>43831</v>
      </c>
      <c r="H14" s="222">
        <v>44742</v>
      </c>
      <c r="I14" s="18"/>
      <c r="J14" s="20"/>
      <c r="K14" s="22"/>
      <c r="L14" s="22"/>
      <c r="M14" s="22"/>
      <c r="N14" s="22"/>
      <c r="O14" s="126"/>
      <c r="P14" s="31" t="s">
        <v>9</v>
      </c>
      <c r="Q14" s="24">
        <v>0.3</v>
      </c>
      <c r="R14" s="117">
        <f>(Q$10*Q14)-(R$17*Q14)</f>
        <v>52.8</v>
      </c>
      <c r="S14" s="37">
        <f>(1/Q$16)*IF(Q$9&lt;$K$12,$O$12,$O$13)*Q14</f>
        <v>11841</v>
      </c>
      <c r="T14" s="24">
        <v>0.3</v>
      </c>
      <c r="U14" s="117">
        <f t="shared" ref="U14" si="35">(T$10*T14)-(U$17*T14)</f>
        <v>48</v>
      </c>
      <c r="V14" s="37">
        <f t="shared" si="9"/>
        <v>11841</v>
      </c>
      <c r="W14" s="24">
        <v>0.3</v>
      </c>
      <c r="X14" s="117">
        <f t="shared" ref="X14" si="36">(W$10*W14)-(X$17*W14)</f>
        <v>52.8</v>
      </c>
      <c r="Y14" s="37">
        <f t="shared" si="11"/>
        <v>11841</v>
      </c>
      <c r="Z14" s="24">
        <v>0.3</v>
      </c>
      <c r="AA14" s="117">
        <f t="shared" ref="AA14" si="37">(Z$10*Z14)-(AA$17*Z14)</f>
        <v>52.8</v>
      </c>
      <c r="AB14" s="37">
        <f t="shared" si="13"/>
        <v>11841</v>
      </c>
      <c r="AC14" s="24">
        <v>0.3</v>
      </c>
      <c r="AD14" s="117">
        <f t="shared" ref="AD14" si="38">(AC$10*AC14)-(AD$17*AC14)</f>
        <v>50.4</v>
      </c>
      <c r="AE14" s="37">
        <f t="shared" si="15"/>
        <v>11841</v>
      </c>
      <c r="AF14" s="24">
        <v>0.3</v>
      </c>
      <c r="AG14" s="117">
        <f t="shared" ref="AG14" si="39">(AF$10*AF14)-(AG$17*AF14)</f>
        <v>52.8</v>
      </c>
      <c r="AH14" s="37">
        <f t="shared" si="17"/>
        <v>11841</v>
      </c>
      <c r="AI14" s="24">
        <v>0.3</v>
      </c>
      <c r="AJ14" s="117">
        <f t="shared" ref="AJ14" si="40">(AI$10*AI14)-(AJ$17*AI14)</f>
        <v>55.199999999999996</v>
      </c>
      <c r="AK14" s="37">
        <f t="shared" si="19"/>
        <v>11841</v>
      </c>
      <c r="AL14" s="24">
        <v>0.3</v>
      </c>
      <c r="AM14" s="117">
        <f t="shared" ref="AM14" si="41">(AL$10*AL14)-(AM$17*AL14)</f>
        <v>50.4</v>
      </c>
      <c r="AN14" s="37">
        <f t="shared" si="21"/>
        <v>11841</v>
      </c>
      <c r="AO14" s="24">
        <v>0.3</v>
      </c>
      <c r="AP14" s="117">
        <f t="shared" ref="AP14" si="42">(AO$10*AO14)-(AP$17*AO14)</f>
        <v>52.8</v>
      </c>
      <c r="AQ14" s="37">
        <f t="shared" si="23"/>
        <v>11841</v>
      </c>
      <c r="AR14" s="24">
        <v>0.3</v>
      </c>
      <c r="AS14" s="117">
        <f t="shared" ref="AS14" si="43">(AR$10*AR14)-(AS$17*AR14)</f>
        <v>52.8</v>
      </c>
      <c r="AT14" s="37">
        <f t="shared" si="25"/>
        <v>11841</v>
      </c>
      <c r="AU14" s="24">
        <v>0.3</v>
      </c>
      <c r="AV14" s="117">
        <f t="shared" ref="AV14" si="44">(AU$10*AU14)-(AV$17*AU14)</f>
        <v>43.68</v>
      </c>
      <c r="AW14" s="37">
        <f t="shared" si="27"/>
        <v>11841.428571428571</v>
      </c>
      <c r="AX14" s="24">
        <v>0.3</v>
      </c>
      <c r="AY14" s="117">
        <f t="shared" ref="AY14" si="45">(AX$10*AX14)-(AY$17*AX14)</f>
        <v>21.599999999999994</v>
      </c>
      <c r="AZ14" s="37">
        <f t="shared" ref="AZ14:AZ15" si="46">(1/AX$16)*IF(AX$9&lt;$K$12,$O$12,$O$13)*AX14</f>
        <v>11841.428571428571</v>
      </c>
      <c r="BA14" s="285">
        <f t="shared" ref="BA14:BA70" si="47">SUM(S14,V14,Y14,AB14,AE14,AH14,AK14,AN14,AQ14,AT14,AW14,AZ14)</f>
        <v>142092.85714285713</v>
      </c>
    </row>
    <row r="15" spans="1:58" ht="15" thickBot="1" x14ac:dyDescent="0.35">
      <c r="A15" s="540"/>
      <c r="B15" s="63" t="s">
        <v>29</v>
      </c>
      <c r="C15" s="217" t="s">
        <v>58</v>
      </c>
      <c r="D15" s="171"/>
      <c r="E15" s="4"/>
      <c r="F15" s="182" t="s">
        <v>50</v>
      </c>
      <c r="G15" s="5">
        <v>44136</v>
      </c>
      <c r="H15" s="168">
        <v>44926</v>
      </c>
      <c r="I15" s="18"/>
      <c r="J15" s="20"/>
      <c r="K15" s="22"/>
      <c r="L15" s="22"/>
      <c r="M15" s="22"/>
      <c r="N15" s="22"/>
      <c r="O15" s="126"/>
      <c r="P15" s="31" t="s">
        <v>29</v>
      </c>
      <c r="Q15" s="24"/>
      <c r="R15" s="117">
        <f>(Q$10*Q15)-(R$17*Q15)</f>
        <v>0</v>
      </c>
      <c r="S15" s="128">
        <f>(1/Q$16)*IF(Q$9&lt;$K$12,$O$12,$O$13)*Q15</f>
        <v>0</v>
      </c>
      <c r="T15" s="24"/>
      <c r="U15" s="117">
        <f t="shared" ref="U15" si="48">(T$10*T15)-(U$17*T15)</f>
        <v>0</v>
      </c>
      <c r="V15" s="128">
        <f t="shared" si="9"/>
        <v>0</v>
      </c>
      <c r="W15" s="24"/>
      <c r="X15" s="117">
        <f t="shared" ref="X15" si="49">(W$10*W15)-(X$17*W15)</f>
        <v>0</v>
      </c>
      <c r="Y15" s="128">
        <f t="shared" si="11"/>
        <v>0</v>
      </c>
      <c r="Z15" s="24"/>
      <c r="AA15" s="117">
        <f t="shared" ref="AA15" si="50">(Z$10*Z15)-(AA$17*Z15)</f>
        <v>0</v>
      </c>
      <c r="AB15" s="128">
        <f t="shared" si="13"/>
        <v>0</v>
      </c>
      <c r="AC15" s="24"/>
      <c r="AD15" s="117">
        <f t="shared" ref="AD15" si="51">(AC$10*AC15)-(AD$17*AC15)</f>
        <v>0</v>
      </c>
      <c r="AE15" s="128">
        <f t="shared" si="15"/>
        <v>0</v>
      </c>
      <c r="AF15" s="24"/>
      <c r="AG15" s="117">
        <f t="shared" ref="AG15" si="52">(AF$10*AF15)-(AG$17*AF15)</f>
        <v>0</v>
      </c>
      <c r="AH15" s="128">
        <f t="shared" si="17"/>
        <v>0</v>
      </c>
      <c r="AI15" s="24"/>
      <c r="AJ15" s="117">
        <f t="shared" ref="AJ15" si="53">(AI$10*AI15)-(AJ$17*AI15)</f>
        <v>0</v>
      </c>
      <c r="AK15" s="128">
        <f t="shared" si="19"/>
        <v>0</v>
      </c>
      <c r="AL15" s="24"/>
      <c r="AM15" s="117">
        <f t="shared" ref="AM15" si="54">(AL$10*AL15)-(AM$17*AL15)</f>
        <v>0</v>
      </c>
      <c r="AN15" s="128">
        <f t="shared" si="21"/>
        <v>0</v>
      </c>
      <c r="AO15" s="24"/>
      <c r="AP15" s="117">
        <f t="shared" ref="AP15" si="55">(AO$10*AO15)-(AP$17*AO15)</f>
        <v>0</v>
      </c>
      <c r="AQ15" s="128">
        <f t="shared" si="23"/>
        <v>0</v>
      </c>
      <c r="AR15" s="24"/>
      <c r="AS15" s="117">
        <f t="shared" ref="AS15" si="56">(AR$10*AR15)-(AS$17*AR15)</f>
        <v>0</v>
      </c>
      <c r="AT15" s="128">
        <f t="shared" si="25"/>
        <v>0</v>
      </c>
      <c r="AU15" s="24">
        <v>0.1</v>
      </c>
      <c r="AV15" s="117">
        <f t="shared" ref="AV15" si="57">(AU$10*AU15)-(AV$17*AU15)</f>
        <v>14.56</v>
      </c>
      <c r="AW15" s="128">
        <f>(1/AU$16)*IF(AU$9&lt;$K$12,$O$12,$O$13)*AU15</f>
        <v>3947.1428571428573</v>
      </c>
      <c r="AX15" s="24">
        <v>0.1</v>
      </c>
      <c r="AY15" s="117">
        <f>(AX$10*AX15)-(AY$17*AX15)</f>
        <v>7.2000000000000011</v>
      </c>
      <c r="AZ15" s="128">
        <f t="shared" si="46"/>
        <v>3947.1428571428573</v>
      </c>
      <c r="BA15" s="285">
        <f t="shared" si="47"/>
        <v>7894.2857142857147</v>
      </c>
    </row>
    <row r="16" spans="1:58" ht="15" thickBot="1" x14ac:dyDescent="0.35">
      <c r="A16" s="540"/>
      <c r="B16" s="64" t="s">
        <v>36</v>
      </c>
      <c r="C16" s="197"/>
      <c r="D16" s="172"/>
      <c r="E16" s="69"/>
      <c r="F16" s="183"/>
      <c r="G16" s="84"/>
      <c r="H16" s="223"/>
      <c r="I16" s="85"/>
      <c r="J16" s="20"/>
      <c r="K16" s="22"/>
      <c r="L16" s="22"/>
      <c r="M16" s="22"/>
      <c r="N16" s="22"/>
      <c r="O16" s="126"/>
      <c r="P16" s="104" t="s">
        <v>36</v>
      </c>
      <c r="Q16" s="82">
        <f t="shared" ref="Q16:S16" si="58">SUM(Q12:Q15)</f>
        <v>0.5</v>
      </c>
      <c r="R16" s="105">
        <f t="shared" si="58"/>
        <v>88</v>
      </c>
      <c r="S16" s="83">
        <f t="shared" si="58"/>
        <v>19735</v>
      </c>
      <c r="T16" s="82">
        <f t="shared" ref="T16:AW16" si="59">SUM(T12:T15)</f>
        <v>0.5</v>
      </c>
      <c r="U16" s="105">
        <f t="shared" si="59"/>
        <v>80</v>
      </c>
      <c r="V16" s="83">
        <f t="shared" si="59"/>
        <v>19735</v>
      </c>
      <c r="W16" s="82">
        <f t="shared" si="59"/>
        <v>0.5</v>
      </c>
      <c r="X16" s="105">
        <f t="shared" si="59"/>
        <v>88</v>
      </c>
      <c r="Y16" s="83">
        <f t="shared" si="59"/>
        <v>19735</v>
      </c>
      <c r="Z16" s="82">
        <f t="shared" si="59"/>
        <v>0.5</v>
      </c>
      <c r="AA16" s="105">
        <f t="shared" si="59"/>
        <v>88</v>
      </c>
      <c r="AB16" s="83">
        <f t="shared" si="59"/>
        <v>19735</v>
      </c>
      <c r="AC16" s="82">
        <f t="shared" si="59"/>
        <v>0.5</v>
      </c>
      <c r="AD16" s="105">
        <f t="shared" si="59"/>
        <v>84</v>
      </c>
      <c r="AE16" s="83">
        <f t="shared" si="59"/>
        <v>19735</v>
      </c>
      <c r="AF16" s="82">
        <f t="shared" si="59"/>
        <v>0.5</v>
      </c>
      <c r="AG16" s="105">
        <f t="shared" si="59"/>
        <v>88</v>
      </c>
      <c r="AH16" s="83">
        <f t="shared" si="59"/>
        <v>19735</v>
      </c>
      <c r="AI16" s="82">
        <f t="shared" si="59"/>
        <v>0.5</v>
      </c>
      <c r="AJ16" s="105">
        <f t="shared" si="59"/>
        <v>92</v>
      </c>
      <c r="AK16" s="83">
        <f t="shared" si="59"/>
        <v>19735</v>
      </c>
      <c r="AL16" s="82">
        <f t="shared" si="59"/>
        <v>0.5</v>
      </c>
      <c r="AM16" s="105">
        <f t="shared" si="59"/>
        <v>84</v>
      </c>
      <c r="AN16" s="83">
        <f t="shared" si="59"/>
        <v>19735</v>
      </c>
      <c r="AO16" s="82">
        <f t="shared" si="59"/>
        <v>0.5</v>
      </c>
      <c r="AP16" s="105">
        <f t="shared" si="59"/>
        <v>88</v>
      </c>
      <c r="AQ16" s="83">
        <f t="shared" si="59"/>
        <v>19735</v>
      </c>
      <c r="AR16" s="82">
        <f t="shared" si="59"/>
        <v>0.5</v>
      </c>
      <c r="AS16" s="105">
        <f t="shared" si="59"/>
        <v>88</v>
      </c>
      <c r="AT16" s="83">
        <f t="shared" si="59"/>
        <v>19735</v>
      </c>
      <c r="AU16" s="82">
        <f t="shared" si="59"/>
        <v>0.7</v>
      </c>
      <c r="AV16" s="105">
        <f t="shared" si="59"/>
        <v>101.92</v>
      </c>
      <c r="AW16" s="83">
        <f t="shared" si="59"/>
        <v>27545.142857142859</v>
      </c>
      <c r="AX16" s="82">
        <f t="shared" ref="AX16:AZ16" si="60">SUM(AX12:AX15)</f>
        <v>0.7</v>
      </c>
      <c r="AY16" s="105">
        <f t="shared" si="60"/>
        <v>50.4</v>
      </c>
      <c r="AZ16" s="83">
        <f t="shared" si="60"/>
        <v>28020.142857142859</v>
      </c>
      <c r="BA16" s="285">
        <f t="shared" si="47"/>
        <v>252915.28571428574</v>
      </c>
    </row>
    <row r="17" spans="1:53" ht="15" thickBot="1" x14ac:dyDescent="0.35">
      <c r="A17" s="541"/>
      <c r="B17" s="339" t="s">
        <v>27</v>
      </c>
      <c r="C17" s="218"/>
      <c r="D17" s="173"/>
      <c r="E17" s="6"/>
      <c r="F17" s="184"/>
      <c r="G17" s="8"/>
      <c r="H17" s="224"/>
      <c r="I17" s="16"/>
      <c r="J17" s="29"/>
      <c r="K17" s="108"/>
      <c r="L17" s="108"/>
      <c r="M17" s="108"/>
      <c r="N17" s="108"/>
      <c r="O17" s="127"/>
      <c r="P17" s="343" t="s">
        <v>27</v>
      </c>
      <c r="Q17" s="25">
        <v>2</v>
      </c>
      <c r="R17" s="78">
        <f>Q17*8*Q16</f>
        <v>8</v>
      </c>
      <c r="S17" s="13"/>
      <c r="T17" s="25">
        <v>0</v>
      </c>
      <c r="U17" s="78">
        <f>T17*8*T16</f>
        <v>0</v>
      </c>
      <c r="V17" s="79"/>
      <c r="W17" s="25">
        <v>0</v>
      </c>
      <c r="X17" s="78">
        <f t="shared" ref="X17" si="61">W17*8*W16</f>
        <v>0</v>
      </c>
      <c r="Y17" s="79"/>
      <c r="Z17" s="25">
        <v>0</v>
      </c>
      <c r="AA17" s="78">
        <f t="shared" ref="AA17" si="62">Z17*8*Z16</f>
        <v>0</v>
      </c>
      <c r="AB17" s="79"/>
      <c r="AC17" s="25">
        <v>0</v>
      </c>
      <c r="AD17" s="78">
        <f t="shared" ref="AD17:AM17" si="63">AC17*8*AC16</f>
        <v>0</v>
      </c>
      <c r="AE17" s="79"/>
      <c r="AF17" s="25">
        <v>0</v>
      </c>
      <c r="AG17" s="78">
        <f t="shared" si="63"/>
        <v>0</v>
      </c>
      <c r="AH17" s="79"/>
      <c r="AI17" s="25">
        <v>0</v>
      </c>
      <c r="AJ17" s="78">
        <f t="shared" si="63"/>
        <v>0</v>
      </c>
      <c r="AK17" s="79"/>
      <c r="AL17" s="25">
        <v>0</v>
      </c>
      <c r="AM17" s="78">
        <f t="shared" si="63"/>
        <v>0</v>
      </c>
      <c r="AN17" s="79"/>
      <c r="AO17" s="25">
        <v>0</v>
      </c>
      <c r="AP17" s="78">
        <f t="shared" ref="AP17" si="64">AO17*8*AO16</f>
        <v>0</v>
      </c>
      <c r="AQ17" s="79"/>
      <c r="AR17" s="25">
        <v>0</v>
      </c>
      <c r="AS17" s="78">
        <f t="shared" ref="AS17" si="65">AR17*8*AR16</f>
        <v>0</v>
      </c>
      <c r="AT17" s="79"/>
      <c r="AU17" s="25">
        <v>4</v>
      </c>
      <c r="AV17" s="78">
        <f t="shared" ref="AV17" si="66">AU17*8*AU16</f>
        <v>22.4</v>
      </c>
      <c r="AW17" s="79"/>
      <c r="AX17" s="25">
        <v>20</v>
      </c>
      <c r="AY17" s="78">
        <f t="shared" ref="AY17" si="67">AX17*8*AX16</f>
        <v>112</v>
      </c>
      <c r="AZ17" s="79"/>
      <c r="BA17" s="344">
        <f>30-(Q17+T17+W17+Z17+AC17+AF17+AI17+AL17+AO17+AR17+AU17+AX17)</f>
        <v>4</v>
      </c>
    </row>
    <row r="18" spans="1:53" ht="15" thickBot="1" x14ac:dyDescent="0.35">
      <c r="A18" s="545" t="s">
        <v>63</v>
      </c>
      <c r="B18" s="62" t="s">
        <v>7</v>
      </c>
      <c r="C18" s="196" t="s">
        <v>58</v>
      </c>
      <c r="D18" s="174">
        <v>0</v>
      </c>
      <c r="E18" s="9"/>
      <c r="F18" s="185" t="s">
        <v>50</v>
      </c>
      <c r="G18" s="10">
        <v>44075</v>
      </c>
      <c r="H18" s="225"/>
      <c r="I18" s="17"/>
      <c r="J18" s="110">
        <v>44075</v>
      </c>
      <c r="K18" s="5">
        <v>44196</v>
      </c>
      <c r="L18" s="109" t="s">
        <v>92</v>
      </c>
      <c r="M18" s="22">
        <v>14670</v>
      </c>
      <c r="N18" s="22">
        <v>4150</v>
      </c>
      <c r="O18" s="23">
        <f>N18+M18</f>
        <v>18820</v>
      </c>
      <c r="P18" s="39" t="s">
        <v>7</v>
      </c>
      <c r="Q18" s="26"/>
      <c r="R18" s="214">
        <f>(Q$10*Q18)-(R$17*Q18)</f>
        <v>0</v>
      </c>
      <c r="S18" s="21">
        <f>IF(Q$9&lt;$K$18,$O$18,$O$19)*Q18</f>
        <v>0</v>
      </c>
      <c r="T18" s="26"/>
      <c r="U18" s="214">
        <f t="shared" ref="U18" si="68">(T$10*T18)-(U$17*T18)</f>
        <v>0</v>
      </c>
      <c r="V18" s="21">
        <f t="shared" ref="V18:V19" si="69">IF(T$9&lt;$K$18,$O$18,$O$19)*T18</f>
        <v>0</v>
      </c>
      <c r="W18" s="26"/>
      <c r="X18" s="214">
        <f t="shared" ref="X18" si="70">(W$10*W18)-(X$17*W18)</f>
        <v>0</v>
      </c>
      <c r="Y18" s="21">
        <f t="shared" ref="Y18:Y19" si="71">IF(W$9&lt;$K$18,$O$18,$O$19)*W18</f>
        <v>0</v>
      </c>
      <c r="Z18" s="26"/>
      <c r="AA18" s="214">
        <f t="shared" ref="AA18" si="72">(Z$10*Z18)-(AA$17*Z18)</f>
        <v>0</v>
      </c>
      <c r="AB18" s="21">
        <f t="shared" ref="AB18:AB19" si="73">IF(Z$9&lt;$K$18,$O$18,$O$19)*Z18</f>
        <v>0</v>
      </c>
      <c r="AC18" s="26"/>
      <c r="AD18" s="214">
        <f t="shared" ref="AD18" si="74">(AC$10*AC18)-(AD$17*AC18)</f>
        <v>0</v>
      </c>
      <c r="AE18" s="21">
        <f t="shared" ref="AE18:AE19" si="75">IF(AC$9&lt;$K$18,$O$18,$O$19)*AC18</f>
        <v>0</v>
      </c>
      <c r="AF18" s="26"/>
      <c r="AG18" s="214">
        <f t="shared" ref="AG18" si="76">(AF$10*AF18)-(AG$17*AF18)</f>
        <v>0</v>
      </c>
      <c r="AH18" s="21">
        <f t="shared" ref="AH18:AH19" si="77">IF(AF$9&lt;$K$18,$O$18,$O$19)*AF18</f>
        <v>0</v>
      </c>
      <c r="AI18" s="26"/>
      <c r="AJ18" s="214">
        <f t="shared" ref="AJ18" si="78">(AI$10*AI18)-(AJ$17*AI18)</f>
        <v>0</v>
      </c>
      <c r="AK18" s="21">
        <f t="shared" ref="AK18:AK19" si="79">IF(AI$9&lt;$K$18,$O$18,$O$19)*AI18</f>
        <v>0</v>
      </c>
      <c r="AL18" s="26"/>
      <c r="AM18" s="214">
        <f t="shared" ref="AM18" si="80">(AL$10*AL18)-(AM$17*AL18)</f>
        <v>0</v>
      </c>
      <c r="AN18" s="21">
        <f t="shared" ref="AN18:AN19" si="81">IF(AL$9&lt;$K$18,$O$18,$O$19)*AL18</f>
        <v>0</v>
      </c>
      <c r="AO18" s="26">
        <v>0.05</v>
      </c>
      <c r="AP18" s="214">
        <f t="shared" ref="AP18" si="82">(AO$10*AO18)-(AP$17*AO18)</f>
        <v>8.8000000000000007</v>
      </c>
      <c r="AQ18" s="21">
        <f t="shared" ref="AQ18:AQ19" si="83">(1/AO$20)*IF(AO$9&lt;$K$18,$O$18,$O$19)*AO18</f>
        <v>1882</v>
      </c>
      <c r="AR18" s="26">
        <v>0.05</v>
      </c>
      <c r="AS18" s="214">
        <f t="shared" ref="AS18" si="84">(AR$10*AR18)-(AS$17*AR18)</f>
        <v>8.8000000000000007</v>
      </c>
      <c r="AT18" s="21">
        <f t="shared" ref="AT18:AT19" si="85">(1/AR$20)*IF(AR$9&lt;$K$18,$O$18,$O$19)*AR18</f>
        <v>1882</v>
      </c>
      <c r="AU18" s="26">
        <v>0.05</v>
      </c>
      <c r="AV18" s="214">
        <f t="shared" ref="AV18" si="86">(AU$10*AU18)-(AV$17*AU18)</f>
        <v>7.28</v>
      </c>
      <c r="AW18" s="21">
        <f t="shared" ref="AW18:AW19" si="87">(1/AU$20)*IF(AU$9&lt;$K$18,$O$18,$O$19)*AU18</f>
        <v>1882</v>
      </c>
      <c r="AX18" s="26">
        <v>0.05</v>
      </c>
      <c r="AY18" s="214">
        <f t="shared" ref="AY18" si="88">(AX$10*AX18)-(AY$17*AX18)</f>
        <v>3.6000000000000005</v>
      </c>
      <c r="AZ18" s="18">
        <f>(1/AX$20)*IF(AX$9&lt;$K$18,$O$18,$O$19)*AX18</f>
        <v>1882</v>
      </c>
      <c r="BA18" s="285">
        <f>SUM(S18,V18,Y18,AB18,AE18,AH18,AK18,AN18,AQ18,AT18,AW18,AZ18)</f>
        <v>7528</v>
      </c>
    </row>
    <row r="19" spans="1:53" ht="15" thickBot="1" x14ac:dyDescent="0.35">
      <c r="A19" s="545"/>
      <c r="B19" s="63" t="s">
        <v>9</v>
      </c>
      <c r="C19" s="217" t="s">
        <v>58</v>
      </c>
      <c r="D19" s="171"/>
      <c r="E19" s="4"/>
      <c r="F19" s="185" t="s">
        <v>50</v>
      </c>
      <c r="G19" s="10">
        <v>44075</v>
      </c>
      <c r="H19" s="222">
        <v>44742</v>
      </c>
      <c r="I19" s="18"/>
      <c r="J19" s="20"/>
      <c r="K19" s="22"/>
      <c r="L19" s="107"/>
      <c r="M19" s="22"/>
      <c r="N19" s="22"/>
      <c r="O19" s="23"/>
      <c r="P19" s="39" t="s">
        <v>9</v>
      </c>
      <c r="Q19" s="24"/>
      <c r="R19" s="117">
        <f>(Q$10*Q19)-(R$21*Q19)</f>
        <v>0</v>
      </c>
      <c r="S19" s="21">
        <f>IF(Q$9&lt;$K$18,$O$18,$O$19)*Q19</f>
        <v>0</v>
      </c>
      <c r="T19" s="24"/>
      <c r="U19" s="117">
        <f t="shared" ref="U19" si="89">(T$10*T19)-(U$21*T19)</f>
        <v>0</v>
      </c>
      <c r="V19" s="21">
        <f t="shared" si="69"/>
        <v>0</v>
      </c>
      <c r="W19" s="24"/>
      <c r="X19" s="117">
        <f t="shared" ref="X19" si="90">(W$10*W19)-(X$21*W19)</f>
        <v>0</v>
      </c>
      <c r="Y19" s="21">
        <f t="shared" si="71"/>
        <v>0</v>
      </c>
      <c r="Z19" s="24"/>
      <c r="AA19" s="117">
        <f t="shared" ref="AA19" si="91">(Z$10*Z19)-(AA$21*Z19)</f>
        <v>0</v>
      </c>
      <c r="AB19" s="21">
        <f t="shared" si="73"/>
        <v>0</v>
      </c>
      <c r="AC19" s="24"/>
      <c r="AD19" s="117">
        <f t="shared" ref="AD19" si="92">(AC$10*AC19)-(AD$21*AC19)</f>
        <v>0</v>
      </c>
      <c r="AE19" s="21">
        <f t="shared" si="75"/>
        <v>0</v>
      </c>
      <c r="AF19" s="24"/>
      <c r="AG19" s="117">
        <f t="shared" ref="AG19" si="93">(AF$10*AF19)-(AG$21*AF19)</f>
        <v>0</v>
      </c>
      <c r="AH19" s="21">
        <f t="shared" si="77"/>
        <v>0</v>
      </c>
      <c r="AI19" s="24"/>
      <c r="AJ19" s="117">
        <f t="shared" ref="AJ19" si="94">(AI$10*AI19)-(AJ$21*AI19)</f>
        <v>0</v>
      </c>
      <c r="AK19" s="21">
        <f t="shared" si="79"/>
        <v>0</v>
      </c>
      <c r="AL19" s="24"/>
      <c r="AM19" s="117">
        <f t="shared" ref="AM19" si="95">(AL$10*AL19)-(AM$21*AL19)</f>
        <v>0</v>
      </c>
      <c r="AN19" s="21">
        <f t="shared" si="81"/>
        <v>0</v>
      </c>
      <c r="AO19" s="24">
        <v>0.45</v>
      </c>
      <c r="AP19" s="117">
        <f>(AO$10*AO19)-(AP$21*AO19)</f>
        <v>79.2</v>
      </c>
      <c r="AQ19" s="21">
        <f t="shared" si="83"/>
        <v>16938</v>
      </c>
      <c r="AR19" s="24">
        <v>0.45</v>
      </c>
      <c r="AS19" s="117">
        <f t="shared" ref="AS19" si="96">(AR$10*AR19)-(AS$21*AR19)</f>
        <v>79.2</v>
      </c>
      <c r="AT19" s="21">
        <f t="shared" si="85"/>
        <v>16938</v>
      </c>
      <c r="AU19" s="24">
        <v>0.45</v>
      </c>
      <c r="AV19" s="117">
        <f>(AU$10*AU19)-(AV$21*AU19)</f>
        <v>75.600000000000009</v>
      </c>
      <c r="AW19" s="21">
        <f t="shared" si="87"/>
        <v>16938</v>
      </c>
      <c r="AX19" s="24">
        <v>0.45</v>
      </c>
      <c r="AY19" s="117">
        <f>(AX$10*AX19)-(AY$21*AX19)</f>
        <v>67.5</v>
      </c>
      <c r="AZ19" s="18">
        <f t="shared" ref="AZ19" si="97">(1/AX$20)*IF(AX$9&lt;$K$18,$O$18,$O$19)*AX19</f>
        <v>16938</v>
      </c>
      <c r="BA19" s="285">
        <f t="shared" si="47"/>
        <v>67752</v>
      </c>
    </row>
    <row r="20" spans="1:53" ht="15" thickBot="1" x14ac:dyDescent="0.35">
      <c r="A20" s="545"/>
      <c r="B20" s="64" t="s">
        <v>36</v>
      </c>
      <c r="C20" s="156"/>
      <c r="D20" s="171"/>
      <c r="E20" s="4"/>
      <c r="F20" s="182"/>
      <c r="G20" s="5"/>
      <c r="H20" s="222"/>
      <c r="I20" s="18"/>
      <c r="J20" s="20"/>
      <c r="K20" s="22"/>
      <c r="L20" s="107"/>
      <c r="M20" s="22"/>
      <c r="N20" s="22"/>
      <c r="O20" s="23"/>
      <c r="P20" s="39" t="s">
        <v>36</v>
      </c>
      <c r="Q20" s="27">
        <f>SUM(Q18:Q19)</f>
        <v>0</v>
      </c>
      <c r="R20" s="77">
        <f>SUM(R18:R19)</f>
        <v>0</v>
      </c>
      <c r="S20" s="28">
        <f>SUM(S18:S19)</f>
        <v>0</v>
      </c>
      <c r="T20" s="27">
        <f t="shared" ref="T20:AN20" si="98">SUM(T18:T19)</f>
        <v>0</v>
      </c>
      <c r="U20" s="77">
        <f t="shared" si="98"/>
        <v>0</v>
      </c>
      <c r="V20" s="28">
        <f t="shared" si="98"/>
        <v>0</v>
      </c>
      <c r="W20" s="27">
        <f t="shared" si="98"/>
        <v>0</v>
      </c>
      <c r="X20" s="77">
        <f t="shared" si="98"/>
        <v>0</v>
      </c>
      <c r="Y20" s="28">
        <f t="shared" si="98"/>
        <v>0</v>
      </c>
      <c r="Z20" s="27">
        <f t="shared" si="98"/>
        <v>0</v>
      </c>
      <c r="AA20" s="77">
        <f t="shared" si="98"/>
        <v>0</v>
      </c>
      <c r="AB20" s="28">
        <f t="shared" si="98"/>
        <v>0</v>
      </c>
      <c r="AC20" s="27">
        <f t="shared" si="98"/>
        <v>0</v>
      </c>
      <c r="AD20" s="77">
        <f t="shared" si="98"/>
        <v>0</v>
      </c>
      <c r="AE20" s="28">
        <f t="shared" si="98"/>
        <v>0</v>
      </c>
      <c r="AF20" s="27">
        <f t="shared" si="98"/>
        <v>0</v>
      </c>
      <c r="AG20" s="77">
        <f t="shared" si="98"/>
        <v>0</v>
      </c>
      <c r="AH20" s="28">
        <f t="shared" si="98"/>
        <v>0</v>
      </c>
      <c r="AI20" s="27">
        <f t="shared" si="98"/>
        <v>0</v>
      </c>
      <c r="AJ20" s="77">
        <f t="shared" si="98"/>
        <v>0</v>
      </c>
      <c r="AK20" s="28">
        <f t="shared" si="98"/>
        <v>0</v>
      </c>
      <c r="AL20" s="27">
        <f t="shared" si="98"/>
        <v>0</v>
      </c>
      <c r="AM20" s="77">
        <f t="shared" si="98"/>
        <v>0</v>
      </c>
      <c r="AN20" s="28">
        <f t="shared" si="98"/>
        <v>0</v>
      </c>
      <c r="AO20" s="27">
        <f t="shared" ref="AO20:AZ20" si="99">SUM(AO18:AO19)</f>
        <v>0.5</v>
      </c>
      <c r="AP20" s="77">
        <f t="shared" si="99"/>
        <v>88</v>
      </c>
      <c r="AQ20" s="28">
        <f t="shared" si="99"/>
        <v>18820</v>
      </c>
      <c r="AR20" s="27">
        <f t="shared" si="99"/>
        <v>0.5</v>
      </c>
      <c r="AS20" s="77">
        <f t="shared" si="99"/>
        <v>88</v>
      </c>
      <c r="AT20" s="28">
        <f t="shared" si="99"/>
        <v>18820</v>
      </c>
      <c r="AU20" s="27">
        <f t="shared" si="99"/>
        <v>0.5</v>
      </c>
      <c r="AV20" s="77">
        <f t="shared" si="99"/>
        <v>82.88000000000001</v>
      </c>
      <c r="AW20" s="28">
        <f t="shared" si="99"/>
        <v>18820</v>
      </c>
      <c r="AX20" s="27">
        <f t="shared" si="99"/>
        <v>0.5</v>
      </c>
      <c r="AY20" s="77">
        <f t="shared" si="99"/>
        <v>71.099999999999994</v>
      </c>
      <c r="AZ20" s="209">
        <f t="shared" si="99"/>
        <v>18820</v>
      </c>
      <c r="BA20" s="285">
        <f t="shared" si="47"/>
        <v>75280</v>
      </c>
    </row>
    <row r="21" spans="1:53" ht="15" thickBot="1" x14ac:dyDescent="0.35">
      <c r="A21" s="546"/>
      <c r="B21" s="339" t="s">
        <v>27</v>
      </c>
      <c r="C21" s="157"/>
      <c r="D21" s="173"/>
      <c r="E21" s="6"/>
      <c r="F21" s="184"/>
      <c r="G21" s="8"/>
      <c r="H21" s="224"/>
      <c r="I21" s="16"/>
      <c r="J21" s="29"/>
      <c r="K21" s="108"/>
      <c r="L21" s="111"/>
      <c r="M21" s="108"/>
      <c r="N21" s="108"/>
      <c r="O21" s="99"/>
      <c r="P21" s="342" t="s">
        <v>27</v>
      </c>
      <c r="Q21" s="25"/>
      <c r="R21" s="78">
        <f>Q21*8*Q20</f>
        <v>0</v>
      </c>
      <c r="S21" s="13"/>
      <c r="T21" s="25"/>
      <c r="U21" s="78">
        <f t="shared" ref="U21" si="100">T21*8*T20</f>
        <v>0</v>
      </c>
      <c r="V21" s="13"/>
      <c r="W21" s="25"/>
      <c r="X21" s="78">
        <f t="shared" ref="X21" si="101">W21*8*W20</f>
        <v>0</v>
      </c>
      <c r="Y21" s="13"/>
      <c r="Z21" s="25"/>
      <c r="AA21" s="78">
        <f t="shared" ref="AA21" si="102">Z21*8*Z20</f>
        <v>0</v>
      </c>
      <c r="AB21" s="13"/>
      <c r="AC21" s="25"/>
      <c r="AD21" s="78">
        <f t="shared" ref="AD21" si="103">AC21*8*AC20</f>
        <v>0</v>
      </c>
      <c r="AE21" s="13"/>
      <c r="AF21" s="25"/>
      <c r="AG21" s="78">
        <f t="shared" ref="AG21" si="104">AF21*8*AF20</f>
        <v>0</v>
      </c>
      <c r="AH21" s="13"/>
      <c r="AI21" s="25"/>
      <c r="AJ21" s="78">
        <f t="shared" ref="AJ21" si="105">AI21*8*AI20</f>
        <v>0</v>
      </c>
      <c r="AK21" s="13"/>
      <c r="AL21" s="25"/>
      <c r="AM21" s="78">
        <f t="shared" ref="AM21" si="106">AL21*8*AL20</f>
        <v>0</v>
      </c>
      <c r="AN21" s="13"/>
      <c r="AO21" s="25">
        <v>0</v>
      </c>
      <c r="AP21" s="78">
        <f t="shared" ref="AP21" si="107">AO21*8*AO20</f>
        <v>0</v>
      </c>
      <c r="AQ21" s="13"/>
      <c r="AR21" s="25">
        <v>0</v>
      </c>
      <c r="AS21" s="78">
        <f t="shared" ref="AS21" si="108">AR21*8*AR20</f>
        <v>0</v>
      </c>
      <c r="AT21" s="13"/>
      <c r="AU21" s="25">
        <v>0</v>
      </c>
      <c r="AV21" s="78">
        <f t="shared" ref="AV21" si="109">AU21*8*AU20</f>
        <v>0</v>
      </c>
      <c r="AW21" s="13"/>
      <c r="AX21" s="25">
        <v>8.5</v>
      </c>
      <c r="AY21" s="78">
        <f t="shared" ref="AY21" si="110">AX21*8*AX20</f>
        <v>34</v>
      </c>
      <c r="AZ21" s="79"/>
      <c r="BA21" s="344">
        <f>8.5-(Q21+T21+W21+Z21+AC21+AF21+AI21+AL21+AO21+AR21+AU21+AX21)</f>
        <v>0</v>
      </c>
    </row>
    <row r="22" spans="1:53" ht="15" thickBot="1" x14ac:dyDescent="0.35">
      <c r="A22" s="539" t="s">
        <v>64</v>
      </c>
      <c r="B22" s="62" t="s">
        <v>7</v>
      </c>
      <c r="C22" s="217" t="s">
        <v>58</v>
      </c>
      <c r="D22" s="174">
        <v>0.4</v>
      </c>
      <c r="E22" s="9" t="s">
        <v>2</v>
      </c>
      <c r="F22" s="186" t="s">
        <v>50</v>
      </c>
      <c r="G22" s="10">
        <v>42522</v>
      </c>
      <c r="H22" s="225"/>
      <c r="I22" s="17"/>
      <c r="J22" s="133">
        <v>43831</v>
      </c>
      <c r="K22" s="132">
        <v>43951</v>
      </c>
      <c r="L22" s="134" t="s">
        <v>48</v>
      </c>
      <c r="M22" s="15">
        <f>2950+11800</f>
        <v>14750</v>
      </c>
      <c r="N22" s="15">
        <f>855+3420</f>
        <v>4275</v>
      </c>
      <c r="O22" s="135">
        <f>N22+M22</f>
        <v>19025</v>
      </c>
      <c r="P22" s="63" t="s">
        <v>7</v>
      </c>
      <c r="Q22" s="24">
        <v>0.1</v>
      </c>
      <c r="R22" s="117">
        <f>(Q$10*Q22)-(R$17*Q22)</f>
        <v>17.600000000000001</v>
      </c>
      <c r="S22" s="21">
        <f>(1/Q$25)*IF(Q$9&lt;$K$22,$O$22,$O$23)*Q22</f>
        <v>3805</v>
      </c>
      <c r="T22" s="24">
        <v>0.1</v>
      </c>
      <c r="U22" s="117">
        <f>(T$10*T22)-(U$17*T22)</f>
        <v>16</v>
      </c>
      <c r="V22" s="21">
        <f>(1/T$25)*IF(T$9&lt;$K$22,$O$22,$O$23)*T22</f>
        <v>3805</v>
      </c>
      <c r="W22" s="24">
        <v>0.1</v>
      </c>
      <c r="X22" s="117">
        <f>(W$10*W22)-(X$17*W22)</f>
        <v>17.600000000000001</v>
      </c>
      <c r="Y22" s="21">
        <f>(1/W$25)*IF(W$9&lt;$K$22,$O$22,$O$23)*W22</f>
        <v>3805</v>
      </c>
      <c r="Z22" s="24">
        <v>0.1</v>
      </c>
      <c r="AA22" s="117">
        <f>(Z$10*Z22)-(AA$17*Z22)</f>
        <v>17.600000000000001</v>
      </c>
      <c r="AB22" s="21">
        <f>(1/Z$25)*IF(Z$9&lt;$K$22,$O$22,$O$23)*Z22</f>
        <v>3805</v>
      </c>
      <c r="AC22" s="24">
        <v>0.05</v>
      </c>
      <c r="AD22" s="117">
        <f>(AC$10*AC22)-(AD$17*AC22)</f>
        <v>8.4</v>
      </c>
      <c r="AE22" s="21">
        <f>(1/AC$25)*IF(AC$9&lt;$K$22,$O$22,$O$23)*AC22</f>
        <v>1902.5333333333333</v>
      </c>
      <c r="AF22" s="24">
        <v>0.05</v>
      </c>
      <c r="AG22" s="117">
        <f>(AF$10*AF22)-(AG$17*AF22)</f>
        <v>8.8000000000000007</v>
      </c>
      <c r="AH22" s="21">
        <f>(1/AF$25)*IF(AF$9&lt;$K$22,$O$22,$O$23)*AF22</f>
        <v>1902.5333333333333</v>
      </c>
      <c r="AI22" s="24">
        <v>0.05</v>
      </c>
      <c r="AJ22" s="117">
        <f>(AI$10*AI22)-(AJ$17*AI22)</f>
        <v>9.2000000000000011</v>
      </c>
      <c r="AK22" s="21">
        <f>(1/AI$25)*IF(AI$9&lt;$K$22,$O$22,$O$23)*AI22</f>
        <v>1902.5333333333333</v>
      </c>
      <c r="AL22" s="24">
        <v>0.05</v>
      </c>
      <c r="AM22" s="117">
        <f>(AL$10*AL22)-(AM$17*AL22)</f>
        <v>8.4</v>
      </c>
      <c r="AN22" s="21">
        <f>(1/AL$25)*IF(AL$9&lt;$K$22,$O$22,$O$23)*AL22</f>
        <v>1902.5333333333333</v>
      </c>
      <c r="AO22" s="24">
        <v>0.05</v>
      </c>
      <c r="AP22" s="117">
        <f>(AO$10*AO22)-(AP$17*AO22)</f>
        <v>8.8000000000000007</v>
      </c>
      <c r="AQ22" s="21">
        <f>(1/AO$25)*IF(AO$9&lt;$K$22,$O$22,$O$23)*AO22</f>
        <v>1902.5333333333333</v>
      </c>
      <c r="AR22" s="24">
        <v>0.05</v>
      </c>
      <c r="AS22" s="117">
        <f>(AR$10*AR22)-(AS$17*AR22)</f>
        <v>8.8000000000000007</v>
      </c>
      <c r="AT22" s="21">
        <f>(1/AR$25)*IF(AR$9&lt;$K$22,$O$22,$O$23)*AR22</f>
        <v>1902.5333333333333</v>
      </c>
      <c r="AU22" s="24">
        <v>0.05</v>
      </c>
      <c r="AV22" s="117">
        <f>(AU$10*AU22)-(AV$17*AU22)</f>
        <v>7.28</v>
      </c>
      <c r="AW22" s="21">
        <f>(1/AU$25)*IF(AU$9&lt;$K$22,$O$22,$O$23)*AU22</f>
        <v>1902.5333333333333</v>
      </c>
      <c r="AX22" s="24">
        <v>0.05</v>
      </c>
      <c r="AY22" s="117">
        <f>(AX$10*AX22)-(AY$17*AX22)</f>
        <v>3.6000000000000005</v>
      </c>
      <c r="AZ22" s="18">
        <f>(1/AX$25)*IF(AX$9&lt;$K$22,$O$22,$O$23)*AX22</f>
        <v>1902.5333333333333</v>
      </c>
      <c r="BA22" s="285">
        <f>SUM(S22,V22,Y22,AB22,AE22,AH22,AK22,AN22,AQ22,AT22,AW22,AZ22)</f>
        <v>30440.266666666663</v>
      </c>
    </row>
    <row r="23" spans="1:53" ht="15" thickBot="1" x14ac:dyDescent="0.35">
      <c r="A23" s="540"/>
      <c r="B23" s="63" t="s">
        <v>9</v>
      </c>
      <c r="C23" s="217" t="s">
        <v>58</v>
      </c>
      <c r="D23" s="171"/>
      <c r="E23" s="4"/>
      <c r="F23" s="186" t="s">
        <v>50</v>
      </c>
      <c r="G23" s="10">
        <v>43831</v>
      </c>
      <c r="H23" s="222">
        <v>44742</v>
      </c>
      <c r="I23" s="18"/>
      <c r="J23" s="110">
        <v>43952</v>
      </c>
      <c r="K23" s="5">
        <v>44196</v>
      </c>
      <c r="L23" s="109" t="s">
        <v>48</v>
      </c>
      <c r="M23" s="22">
        <f>5900+1475+14750</f>
        <v>22125</v>
      </c>
      <c r="N23" s="22">
        <f>1710+428+4275</f>
        <v>6413</v>
      </c>
      <c r="O23" s="23">
        <f>N23+M23</f>
        <v>28538</v>
      </c>
      <c r="P23" s="63" t="s">
        <v>9</v>
      </c>
      <c r="Q23" s="24">
        <v>0.4</v>
      </c>
      <c r="R23" s="117">
        <f>(Q$10*Q23)-(R$26*Q23)</f>
        <v>70.400000000000006</v>
      </c>
      <c r="S23" s="21">
        <f>(1/Q$25)*IF(Q$9&lt;$K$22,$O$22,$O$23)*Q23</f>
        <v>15220</v>
      </c>
      <c r="T23" s="24">
        <v>0.4</v>
      </c>
      <c r="U23" s="117">
        <f>(T$10*T23)-(U$26*T23)</f>
        <v>64</v>
      </c>
      <c r="V23" s="21">
        <f>(1/T$25)*IF(T$9&lt;$K$22,$O$22,$O$23)*T23</f>
        <v>15220</v>
      </c>
      <c r="W23" s="24">
        <v>0.4</v>
      </c>
      <c r="X23" s="117">
        <f>(W$10*W23)-(X$26*W23)</f>
        <v>70.400000000000006</v>
      </c>
      <c r="Y23" s="21">
        <f>(1/W$25)*IF(W$9&lt;$K$22,$O$22,$O$23)*W23</f>
        <v>15220</v>
      </c>
      <c r="Z23" s="24">
        <v>0.4</v>
      </c>
      <c r="AA23" s="117">
        <f>(Z$10*Z23)-(AA$26*Z23)</f>
        <v>70.400000000000006</v>
      </c>
      <c r="AB23" s="21">
        <f>(1/Z$25)*IF(Z$9&lt;$K$22,$O$22,$O$23)*Z23</f>
        <v>15220</v>
      </c>
      <c r="AC23" s="24">
        <v>0.2</v>
      </c>
      <c r="AD23" s="117">
        <f>(AC$10*AC23)-(AD$26*AC23)</f>
        <v>33.6</v>
      </c>
      <c r="AE23" s="21">
        <f>(1/AC$25)*IF(AC$9&lt;$K$22,$O$22,$O$23)*AC23</f>
        <v>7610.1333333333332</v>
      </c>
      <c r="AF23" s="24">
        <v>0.2</v>
      </c>
      <c r="AG23" s="117">
        <f>(AF$10*AF23)-(AG$26*AF23)</f>
        <v>35.200000000000003</v>
      </c>
      <c r="AH23" s="21">
        <f>(1/AF$25)*IF(AF$9&lt;$K$22,$O$22,$O$23)*AF23</f>
        <v>7610.1333333333332</v>
      </c>
      <c r="AI23" s="24">
        <v>0.2</v>
      </c>
      <c r="AJ23" s="117">
        <f>(AI$10*AI23)-(AJ$26*AI23)</f>
        <v>32</v>
      </c>
      <c r="AK23" s="21">
        <f>(1/AI$25)*IF(AI$9&lt;$K$22,$O$22,$O$23)*AI23</f>
        <v>7610.1333333333332</v>
      </c>
      <c r="AL23" s="24">
        <v>0.2</v>
      </c>
      <c r="AM23" s="117">
        <f>(AL$10*AL23)-(AM$26*AL23)</f>
        <v>27.6</v>
      </c>
      <c r="AN23" s="21">
        <f>(1/AL$25)*IF(AL$9&lt;$K$22,$O$22,$O$23)*AL23</f>
        <v>7610.1333333333332</v>
      </c>
      <c r="AO23" s="24">
        <v>0.2</v>
      </c>
      <c r="AP23" s="117">
        <f>(AO$10*AO23)-(AP$26*AO23)</f>
        <v>35.200000000000003</v>
      </c>
      <c r="AQ23" s="21">
        <f>(1/AO$25)*IF(AO$9&lt;$K$22,$O$22,$O$23)*AO23</f>
        <v>7610.1333333333332</v>
      </c>
      <c r="AR23" s="24">
        <v>0.2</v>
      </c>
      <c r="AS23" s="117">
        <f>(AR$10*AR23)-(AS$26*AR23)</f>
        <v>35.200000000000003</v>
      </c>
      <c r="AT23" s="21">
        <f>(1/AR$25)*IF(AR$9&lt;$K$22,$O$22,$O$23)*AR23</f>
        <v>7610.1333333333332</v>
      </c>
      <c r="AU23" s="24">
        <v>0.2</v>
      </c>
      <c r="AV23" s="117">
        <f>(AU$10*AU23)-(AV$26*AU23)</f>
        <v>25.200000000000003</v>
      </c>
      <c r="AW23" s="21">
        <f>(1/AU$25)*IF(AU$9&lt;$K$22,$O$22,$O$23)*AU23</f>
        <v>7610.1333333333332</v>
      </c>
      <c r="AX23" s="24">
        <v>0.2</v>
      </c>
      <c r="AY23" s="117">
        <f>(AX$10*AX23)-(AY$26*AX23)</f>
        <v>23.6</v>
      </c>
      <c r="AZ23" s="18">
        <f>(1/AX$25)*IF(AX$9&lt;$K$22,$O$22,$O$23)*AX23</f>
        <v>7610.1333333333332</v>
      </c>
      <c r="BA23" s="285">
        <f t="shared" si="47"/>
        <v>121761.06666666665</v>
      </c>
    </row>
    <row r="24" spans="1:53" ht="15" thickBot="1" x14ac:dyDescent="0.35">
      <c r="A24" s="540"/>
      <c r="B24" s="63" t="s">
        <v>29</v>
      </c>
      <c r="C24" s="217" t="s">
        <v>58</v>
      </c>
      <c r="D24" s="171"/>
      <c r="E24" s="4"/>
      <c r="F24" s="186" t="s">
        <v>50</v>
      </c>
      <c r="G24" s="5">
        <v>43952</v>
      </c>
      <c r="H24" s="168">
        <v>44926</v>
      </c>
      <c r="I24" s="18"/>
      <c r="J24" s="97"/>
      <c r="K24" s="98"/>
      <c r="L24" s="112"/>
      <c r="M24" s="98"/>
      <c r="N24" s="98"/>
      <c r="O24" s="137"/>
      <c r="P24" s="63" t="s">
        <v>29</v>
      </c>
      <c r="Q24" s="24"/>
      <c r="R24" s="117">
        <f>(Q$10*Q24)-(R$26*Q24)</f>
        <v>0</v>
      </c>
      <c r="S24" s="117">
        <f>(1/Q$25)*IF(Q$9&lt;$K$22,$O$22,$O$23)*Q24</f>
        <v>0</v>
      </c>
      <c r="T24" s="24"/>
      <c r="U24" s="117">
        <f>(T$10*T24)-(U$26*T24)</f>
        <v>0</v>
      </c>
      <c r="V24" s="117">
        <f>(1/T$25)*IF(T$9&lt;$K$22,$O$22,$O$23)*T24</f>
        <v>0</v>
      </c>
      <c r="W24" s="24"/>
      <c r="X24" s="117">
        <f>(W$10*W24)-(X$26*W24)</f>
        <v>0</v>
      </c>
      <c r="Y24" s="117">
        <f>(1/W$25)*IF(W$9&lt;$K$22,$O$22,$O$23)*W24</f>
        <v>0</v>
      </c>
      <c r="Z24" s="24"/>
      <c r="AA24" s="117">
        <f>(Z$10*Z24)-(AA$26*Z24)</f>
        <v>0</v>
      </c>
      <c r="AB24" s="117">
        <f>(1/Z$25)*IF(Z$9&lt;$K$22,$O$22,$O$23)*Z24</f>
        <v>0</v>
      </c>
      <c r="AC24" s="24">
        <v>0.5</v>
      </c>
      <c r="AD24" s="117">
        <f>(AC$10*AC24)-(AD$26*AC24)</f>
        <v>84</v>
      </c>
      <c r="AE24" s="21">
        <f>(1/AC$25)*IF(AC$9&lt;$K$22,$O$22,$O$23)*AC24</f>
        <v>19025.333333333332</v>
      </c>
      <c r="AF24" s="24">
        <v>0.5</v>
      </c>
      <c r="AG24" s="117">
        <f>(AF$10*AF24)-(AG$26*AF24)</f>
        <v>88</v>
      </c>
      <c r="AH24" s="21">
        <f>(1/AF$25)*IF(AF$9&lt;$K$22,$O$22,$O$23)*AF24</f>
        <v>19025.333333333332</v>
      </c>
      <c r="AI24" s="24">
        <v>0.5</v>
      </c>
      <c r="AJ24" s="117">
        <f>(AI$10*AI24)-(AJ$26*AI24)</f>
        <v>80</v>
      </c>
      <c r="AK24" s="21">
        <f>(1/AI$25)*IF(AI$9&lt;$K$22,$O$22,$O$23)*AI24</f>
        <v>19025.333333333332</v>
      </c>
      <c r="AL24" s="24">
        <v>0.5</v>
      </c>
      <c r="AM24" s="117">
        <f>(AL$10*AL24)-(AM$26*AL24)</f>
        <v>69</v>
      </c>
      <c r="AN24" s="21">
        <f>(1/AL$25)*IF(AL$9&lt;$K$22,$O$22,$O$23)*AL24</f>
        <v>19025.333333333332</v>
      </c>
      <c r="AO24" s="24">
        <v>0.5</v>
      </c>
      <c r="AP24" s="117">
        <f>(AO$10*AO24)-(AP$26*AO24)</f>
        <v>88</v>
      </c>
      <c r="AQ24" s="21">
        <f>(1/AO$25)*IF(AO$9&lt;$K$22,$O$22,$O$23)*AO24</f>
        <v>19025.333333333332</v>
      </c>
      <c r="AR24" s="24">
        <v>0.5</v>
      </c>
      <c r="AS24" s="117">
        <f>(AR$10*AR24)-(AS$26*AR24)</f>
        <v>88</v>
      </c>
      <c r="AT24" s="21">
        <f>(1/AR$25)*IF(AR$9&lt;$K$22,$O$22,$O$23)*AR24</f>
        <v>19025.333333333332</v>
      </c>
      <c r="AU24" s="24">
        <v>0.5</v>
      </c>
      <c r="AV24" s="117">
        <f>(AU$10*AU24)-(AV$26*AU24)</f>
        <v>63</v>
      </c>
      <c r="AW24" s="21">
        <f>(1/AU$25)*IF(AU$9&lt;$K$22,$O$22,$O$23)*AU24</f>
        <v>19025.333333333332</v>
      </c>
      <c r="AX24" s="24">
        <v>0.5</v>
      </c>
      <c r="AY24" s="117">
        <f>(AX$10*AX24)-(AY$26*AX24)</f>
        <v>59</v>
      </c>
      <c r="AZ24" s="18">
        <f>(1/AX$25)*IF(AX$9&lt;$K$22,$O$22,$O$23)*AX24</f>
        <v>19025.333333333332</v>
      </c>
      <c r="BA24" s="285">
        <f t="shared" si="47"/>
        <v>152202.66666666666</v>
      </c>
    </row>
    <row r="25" spans="1:53" ht="15" thickBot="1" x14ac:dyDescent="0.35">
      <c r="A25" s="540"/>
      <c r="B25" s="64" t="s">
        <v>36</v>
      </c>
      <c r="C25" s="338"/>
      <c r="D25" s="171"/>
      <c r="E25" s="4"/>
      <c r="F25" s="180"/>
      <c r="G25" s="5"/>
      <c r="H25" s="222"/>
      <c r="I25" s="18"/>
      <c r="J25" s="20"/>
      <c r="K25" s="22"/>
      <c r="L25" s="107"/>
      <c r="M25" s="22"/>
      <c r="N25" s="22"/>
      <c r="O25" s="23"/>
      <c r="P25" s="63" t="s">
        <v>36</v>
      </c>
      <c r="Q25" s="27">
        <f t="shared" ref="Q25:V25" si="111">SUM(Q22:Q24)</f>
        <v>0.5</v>
      </c>
      <c r="R25" s="77">
        <f t="shared" si="111"/>
        <v>88</v>
      </c>
      <c r="S25" s="28">
        <f t="shared" si="111"/>
        <v>19025</v>
      </c>
      <c r="T25" s="27">
        <f t="shared" si="111"/>
        <v>0.5</v>
      </c>
      <c r="U25" s="77">
        <f t="shared" si="111"/>
        <v>80</v>
      </c>
      <c r="V25" s="28">
        <f t="shared" si="111"/>
        <v>19025</v>
      </c>
      <c r="W25" s="27">
        <f t="shared" ref="W25:AE25" si="112">SUM(W22:W24)</f>
        <v>0.5</v>
      </c>
      <c r="X25" s="77">
        <f t="shared" si="112"/>
        <v>88</v>
      </c>
      <c r="Y25" s="28">
        <f t="shared" si="112"/>
        <v>19025</v>
      </c>
      <c r="Z25" s="27">
        <f t="shared" si="112"/>
        <v>0.5</v>
      </c>
      <c r="AA25" s="77">
        <f t="shared" si="112"/>
        <v>88</v>
      </c>
      <c r="AB25" s="28">
        <f t="shared" si="112"/>
        <v>19025</v>
      </c>
      <c r="AC25" s="27">
        <f t="shared" si="112"/>
        <v>0.75</v>
      </c>
      <c r="AD25" s="77">
        <f t="shared" si="112"/>
        <v>126</v>
      </c>
      <c r="AE25" s="28">
        <f t="shared" si="112"/>
        <v>28538</v>
      </c>
      <c r="AF25" s="27">
        <f t="shared" ref="AF25" si="113">SUM(AF22:AF24)</f>
        <v>0.75</v>
      </c>
      <c r="AG25" s="77">
        <f t="shared" ref="AG25" si="114">SUM(AG22:AG24)</f>
        <v>132</v>
      </c>
      <c r="AH25" s="28">
        <f t="shared" ref="AH25" si="115">SUM(AH22:AH24)</f>
        <v>28538</v>
      </c>
      <c r="AI25" s="27">
        <f t="shared" ref="AI25" si="116">SUM(AI22:AI24)</f>
        <v>0.75</v>
      </c>
      <c r="AJ25" s="77">
        <f t="shared" ref="AJ25" si="117">SUM(AJ22:AJ24)</f>
        <v>121.2</v>
      </c>
      <c r="AK25" s="28">
        <f t="shared" ref="AK25" si="118">SUM(AK22:AK24)</f>
        <v>28538</v>
      </c>
      <c r="AL25" s="27">
        <f t="shared" ref="AL25" si="119">SUM(AL22:AL24)</f>
        <v>0.75</v>
      </c>
      <c r="AM25" s="77">
        <f t="shared" ref="AM25" si="120">SUM(AM22:AM24)</f>
        <v>105</v>
      </c>
      <c r="AN25" s="28">
        <f t="shared" ref="AN25" si="121">SUM(AN22:AN24)</f>
        <v>28538</v>
      </c>
      <c r="AO25" s="27">
        <f t="shared" ref="AO25" si="122">SUM(AO22:AO24)</f>
        <v>0.75</v>
      </c>
      <c r="AP25" s="77">
        <f t="shared" ref="AP25" si="123">SUM(AP22:AP24)</f>
        <v>132</v>
      </c>
      <c r="AQ25" s="28">
        <f t="shared" ref="AQ25" si="124">SUM(AQ22:AQ24)</f>
        <v>28538</v>
      </c>
      <c r="AR25" s="27">
        <f t="shared" ref="AR25" si="125">SUM(AR22:AR24)</f>
        <v>0.75</v>
      </c>
      <c r="AS25" s="77">
        <f t="shared" ref="AS25" si="126">SUM(AS22:AS24)</f>
        <v>132</v>
      </c>
      <c r="AT25" s="28">
        <f t="shared" ref="AT25" si="127">SUM(AT22:AT24)</f>
        <v>28538</v>
      </c>
      <c r="AU25" s="27">
        <f t="shared" ref="AU25" si="128">SUM(AU22:AU24)</f>
        <v>0.75</v>
      </c>
      <c r="AV25" s="77">
        <f t="shared" ref="AV25" si="129">SUM(AV22:AV24)</f>
        <v>95.48</v>
      </c>
      <c r="AW25" s="28">
        <f t="shared" ref="AW25" si="130">SUM(AW22:AW24)</f>
        <v>28538</v>
      </c>
      <c r="AX25" s="27">
        <f t="shared" ref="AX25" si="131">SUM(AX22:AX24)</f>
        <v>0.75</v>
      </c>
      <c r="AY25" s="77">
        <f t="shared" ref="AY25" si="132">SUM(AY22:AY24)</f>
        <v>86.2</v>
      </c>
      <c r="AZ25" s="209">
        <f t="shared" ref="AZ25" si="133">SUM(AZ22:AZ24)</f>
        <v>28538</v>
      </c>
      <c r="BA25" s="285">
        <f t="shared" si="47"/>
        <v>304404</v>
      </c>
    </row>
    <row r="26" spans="1:53" ht="15" thickBot="1" x14ac:dyDescent="0.35">
      <c r="A26" s="541"/>
      <c r="B26" s="339" t="s">
        <v>27</v>
      </c>
      <c r="C26" s="241"/>
      <c r="D26" s="175"/>
      <c r="E26" s="7"/>
      <c r="F26" s="175"/>
      <c r="G26" s="7"/>
      <c r="H26" s="16"/>
      <c r="I26" s="16"/>
      <c r="J26" s="29"/>
      <c r="K26" s="108"/>
      <c r="L26" s="113"/>
      <c r="M26" s="108"/>
      <c r="N26" s="108"/>
      <c r="O26" s="99"/>
      <c r="P26" s="340" t="s">
        <v>27</v>
      </c>
      <c r="Q26" s="82">
        <v>2</v>
      </c>
      <c r="R26" s="80">
        <f>Q26*8*Q25</f>
        <v>8</v>
      </c>
      <c r="S26" s="83"/>
      <c r="T26" s="82">
        <v>0</v>
      </c>
      <c r="U26" s="78">
        <f>T26*8*T25</f>
        <v>0</v>
      </c>
      <c r="V26" s="83"/>
      <c r="W26" s="82">
        <v>0</v>
      </c>
      <c r="X26" s="78">
        <f t="shared" ref="X26" si="134">W26*8*W25</f>
        <v>0</v>
      </c>
      <c r="Y26" s="83"/>
      <c r="Z26" s="82">
        <v>0</v>
      </c>
      <c r="AA26" s="78">
        <f t="shared" ref="AA26" si="135">Z26*8*Z25</f>
        <v>0</v>
      </c>
      <c r="AB26" s="83"/>
      <c r="AC26" s="82">
        <v>0</v>
      </c>
      <c r="AD26" s="78">
        <f t="shared" ref="AD26" si="136">AC26*8*AC25</f>
        <v>0</v>
      </c>
      <c r="AE26" s="83"/>
      <c r="AF26" s="82">
        <v>0</v>
      </c>
      <c r="AG26" s="78">
        <f t="shared" ref="AG26" si="137">AF26*8*AF25</f>
        <v>0</v>
      </c>
      <c r="AH26" s="83"/>
      <c r="AI26" s="82">
        <v>4</v>
      </c>
      <c r="AJ26" s="78">
        <f t="shared" ref="AJ26" si="138">AI26*8*AI25</f>
        <v>24</v>
      </c>
      <c r="AK26" s="83"/>
      <c r="AL26" s="82">
        <v>5</v>
      </c>
      <c r="AM26" s="78">
        <f t="shared" ref="AM26" si="139">AL26*8*AL25</f>
        <v>30</v>
      </c>
      <c r="AN26" s="83"/>
      <c r="AO26" s="82">
        <v>0</v>
      </c>
      <c r="AP26" s="78">
        <f t="shared" ref="AP26" si="140">AO26*8*AO25</f>
        <v>0</v>
      </c>
      <c r="AQ26" s="83"/>
      <c r="AR26" s="82">
        <v>0</v>
      </c>
      <c r="AS26" s="78">
        <f t="shared" ref="AS26" si="141">AR26*8*AR25</f>
        <v>0</v>
      </c>
      <c r="AT26" s="83"/>
      <c r="AU26" s="82">
        <v>7</v>
      </c>
      <c r="AV26" s="78">
        <f t="shared" ref="AV26" si="142">AU26*8*AU25</f>
        <v>42</v>
      </c>
      <c r="AW26" s="83"/>
      <c r="AX26" s="82">
        <v>11</v>
      </c>
      <c r="AY26" s="78">
        <f t="shared" ref="AY26" si="143">AX26*8*AX25</f>
        <v>66</v>
      </c>
      <c r="AZ26" s="81"/>
      <c r="BA26" s="344">
        <f>29-(Q26+T26+W26+Z26+AC26+AF26+AI26+AL26+AO26+AR26+AU26+AX26)</f>
        <v>0</v>
      </c>
    </row>
    <row r="27" spans="1:53" ht="15" thickBot="1" x14ac:dyDescent="0.35">
      <c r="A27" s="536" t="s">
        <v>65</v>
      </c>
      <c r="B27" s="62" t="s">
        <v>7</v>
      </c>
      <c r="C27" s="217" t="s">
        <v>58</v>
      </c>
      <c r="D27" s="176">
        <v>0</v>
      </c>
      <c r="E27" s="131" t="s">
        <v>3</v>
      </c>
      <c r="F27" s="187" t="s">
        <v>50</v>
      </c>
      <c r="G27" s="10">
        <v>43862</v>
      </c>
      <c r="H27" s="225"/>
      <c r="I27" s="130" t="s">
        <v>93</v>
      </c>
      <c r="J27" s="136">
        <v>43862</v>
      </c>
      <c r="K27" s="132">
        <v>44074</v>
      </c>
      <c r="L27" s="134" t="s">
        <v>15</v>
      </c>
      <c r="M27" s="15">
        <f>5102+5102+2551+12755</f>
        <v>25510</v>
      </c>
      <c r="N27" s="15">
        <f>1700+1700+850+4250</f>
        <v>8500</v>
      </c>
      <c r="O27" s="135">
        <f>N27+M27</f>
        <v>34010</v>
      </c>
      <c r="P27" s="63" t="s">
        <v>7</v>
      </c>
      <c r="Q27" s="118"/>
      <c r="R27" s="215">
        <f>(Q$10*Q27)-(R$17*Q27)</f>
        <v>0</v>
      </c>
      <c r="S27" s="303">
        <f>IF(Q$9&lt;$K$27,$O$27,$O$28)*Q27</f>
        <v>0</v>
      </c>
      <c r="T27" s="118">
        <v>0.2</v>
      </c>
      <c r="U27" s="451">
        <f>(T$10*T27)-(U$33*T27)</f>
        <v>32</v>
      </c>
      <c r="V27" s="213">
        <f>(1/T$32)*IF(T$9&lt;$K$27,$O$27,$O$28)*T27</f>
        <v>6802</v>
      </c>
      <c r="W27" s="118">
        <v>0.2</v>
      </c>
      <c r="X27" s="451">
        <f>(W$10*W27)-(X$33*W27)</f>
        <v>35.200000000000003</v>
      </c>
      <c r="Y27" s="213">
        <f>(1/W$32)*IF(W$9&lt;$K$27,$O$27,$O$28)*W27</f>
        <v>6802</v>
      </c>
      <c r="Z27" s="118">
        <v>0.2</v>
      </c>
      <c r="AA27" s="451">
        <f>(Z$10*Z27)-(AA$33*Z27)</f>
        <v>35.200000000000003</v>
      </c>
      <c r="AB27" s="213">
        <f>(1/Z$32)*IF(Z$9&lt;$K$27,$O$27,$O$28)*Z27</f>
        <v>6802</v>
      </c>
      <c r="AC27" s="118">
        <v>0.05</v>
      </c>
      <c r="AD27" s="451">
        <f>(AC$10*AC27)-(AD$33*AC27)</f>
        <v>8.4</v>
      </c>
      <c r="AE27" s="310">
        <f>(1/AC$32)*IF(AC$9&lt;$K$27,$O$27,$O$28)*AC27</f>
        <v>1700.5</v>
      </c>
      <c r="AF27" s="118">
        <v>0.05</v>
      </c>
      <c r="AG27" s="451">
        <f>(AF$10*AF27)-(AG$33*AF27)</f>
        <v>8.4</v>
      </c>
      <c r="AH27" s="310">
        <f>(1/AF$32)*IF(AF$9&lt;$K$27,$O$27,$O$28)*AF27</f>
        <v>1700.5</v>
      </c>
      <c r="AI27" s="118">
        <v>0.05</v>
      </c>
      <c r="AJ27" s="451">
        <f>(AI$10*AI27)-(AJ$33*AI27)</f>
        <v>8</v>
      </c>
      <c r="AK27" s="310">
        <f>(1/AI$32)*IF(AI$9&lt;$K$27,$O$27,$O$28)*AI27</f>
        <v>1700.5</v>
      </c>
      <c r="AL27" s="118">
        <v>0.05</v>
      </c>
      <c r="AM27" s="451">
        <f>(AL$10*AL27)-(AM$33*AL27)</f>
        <v>7.6000000000000005</v>
      </c>
      <c r="AN27" s="310">
        <f>(1/AL$32)*IF(AL$9&lt;$K$27,$O$27,$O$28)*AL27</f>
        <v>1700.5</v>
      </c>
      <c r="AO27" s="118">
        <v>0.05</v>
      </c>
      <c r="AP27" s="451">
        <f>(AO$10*AO27)-(AP$33*AO27)</f>
        <v>8.8000000000000007</v>
      </c>
      <c r="AQ27" s="310">
        <f>(1/AO$32)*IF(AO$9&lt;$K$27,$O$27,$O$28)*AO27</f>
        <v>1745.5500000000002</v>
      </c>
      <c r="AR27" s="118">
        <v>0.05</v>
      </c>
      <c r="AS27" s="451">
        <f>(AR$10*AR27)-(AS$33*AR27)</f>
        <v>8.8000000000000007</v>
      </c>
      <c r="AT27" s="310">
        <f>(1/AR$32)*IF(AR$9&lt;$K$27,$O$27,$O$28)*AR27</f>
        <v>1745.5500000000002</v>
      </c>
      <c r="AU27" s="118">
        <v>0.05</v>
      </c>
      <c r="AV27" s="451">
        <f>(AU$10*AU27)-(AV$33*AU27)</f>
        <v>5.6</v>
      </c>
      <c r="AW27" s="310">
        <f>(1/AU$32)*IF(AU$9&lt;$K$27,$O$27,$O$28)*AU27</f>
        <v>1745.5500000000002</v>
      </c>
      <c r="AX27" s="118">
        <v>0.05</v>
      </c>
      <c r="AY27" s="451">
        <f>(AX$10*AX27)-(AY$33*AX27)</f>
        <v>5.2000000000000011</v>
      </c>
      <c r="AZ27" s="310">
        <f>(1/AX$32)*IF(AX$9&lt;$K$27,$O$27,$O$28)*AX27</f>
        <v>1745.5500000000002</v>
      </c>
      <c r="BA27" s="285">
        <f t="shared" si="47"/>
        <v>34190.199999999997</v>
      </c>
    </row>
    <row r="28" spans="1:53" ht="15" thickBot="1" x14ac:dyDescent="0.35">
      <c r="A28" s="537"/>
      <c r="B28" s="63" t="s">
        <v>6</v>
      </c>
      <c r="C28" s="217" t="s">
        <v>58</v>
      </c>
      <c r="D28" s="177"/>
      <c r="E28" s="11"/>
      <c r="F28" s="193" t="s">
        <v>50</v>
      </c>
      <c r="G28" s="10">
        <v>43862</v>
      </c>
      <c r="H28" s="225">
        <v>45230</v>
      </c>
      <c r="I28" s="19"/>
      <c r="J28" s="120">
        <v>44075</v>
      </c>
      <c r="K28" s="5">
        <v>44196</v>
      </c>
      <c r="L28" s="109" t="s">
        <v>16</v>
      </c>
      <c r="M28" s="98">
        <f>1321+2641+13205+2641+6603</f>
        <v>26411</v>
      </c>
      <c r="N28" s="22">
        <f>425+850+4250+850+2125</f>
        <v>8500</v>
      </c>
      <c r="O28" s="23">
        <f>N28+M28</f>
        <v>34911</v>
      </c>
      <c r="P28" s="63" t="s">
        <v>6</v>
      </c>
      <c r="Q28" s="24"/>
      <c r="R28" s="96">
        <f>(Q$10*Q28)-(R$17*Q28)</f>
        <v>0</v>
      </c>
      <c r="S28" s="129">
        <f>IF(Q$9&lt;$K$27,$O$27,$O$28)*Q28</f>
        <v>0</v>
      </c>
      <c r="T28" s="24">
        <v>0.2</v>
      </c>
      <c r="U28" s="96">
        <f t="shared" ref="U28:U31" si="144">(T$10*T28)-(U$33*T28)</f>
        <v>32</v>
      </c>
      <c r="V28" s="21">
        <f>(1/T$32)*IF(T$9&lt;$K$27,$O$27,$O$28)*T28</f>
        <v>6802</v>
      </c>
      <c r="W28" s="24">
        <v>0.2</v>
      </c>
      <c r="X28" s="96">
        <f t="shared" ref="X28:X31" si="145">(W$10*W28)-(X$33*W28)</f>
        <v>35.200000000000003</v>
      </c>
      <c r="Y28" s="21">
        <f>(1/W$32)*IF(W$9&lt;$K$27,$O$27,$O$28)*W28</f>
        <v>6802</v>
      </c>
      <c r="Z28" s="24">
        <v>0.2</v>
      </c>
      <c r="AA28" s="96">
        <f t="shared" ref="AA28:AA31" si="146">(Z$10*Z28)-(AA$33*Z28)</f>
        <v>35.200000000000003</v>
      </c>
      <c r="AB28" s="21">
        <v>6817</v>
      </c>
      <c r="AC28" s="450">
        <v>0.1</v>
      </c>
      <c r="AD28" s="96">
        <f t="shared" ref="AD28:AD31" si="147">(AC$10*AC28)-(AD$33*AC28)</f>
        <v>16.8</v>
      </c>
      <c r="AE28" s="21">
        <f t="shared" ref="AE28:AE31" si="148">(1/AC$32)*IF(AC$9&lt;$K$27,$O$27,$O$28)*AC28</f>
        <v>3401</v>
      </c>
      <c r="AF28" s="24">
        <v>0.1</v>
      </c>
      <c r="AG28" s="96">
        <f t="shared" ref="AG28:AG31" si="149">(AF$10*AF28)-(AG$33*AF28)</f>
        <v>16.8</v>
      </c>
      <c r="AH28" s="21">
        <v>3409</v>
      </c>
      <c r="AI28" s="24">
        <v>0.1</v>
      </c>
      <c r="AJ28" s="96">
        <f t="shared" ref="AJ28:AJ31" si="150">(AI$10*AI28)-(AJ$33*AI28)</f>
        <v>16</v>
      </c>
      <c r="AK28" s="21">
        <v>3427</v>
      </c>
      <c r="AL28" s="24">
        <v>0.1</v>
      </c>
      <c r="AM28" s="96">
        <f t="shared" ref="AM28:AM31" si="151">(AL$10*AL28)-(AM$33*AL28)</f>
        <v>15.200000000000001</v>
      </c>
      <c r="AN28" s="21">
        <v>3390</v>
      </c>
      <c r="AO28" s="24">
        <v>0.1</v>
      </c>
      <c r="AP28" s="96">
        <f t="shared" ref="AP28:AP31" si="152">(AO$10*AO28)-(AP$33*AO28)</f>
        <v>17.600000000000001</v>
      </c>
      <c r="AQ28" s="21">
        <v>3498</v>
      </c>
      <c r="AR28" s="24">
        <v>0.1</v>
      </c>
      <c r="AS28" s="96">
        <f t="shared" ref="AS28:AS31" si="153">(AR$10*AR28)-(AS$33*AR28)</f>
        <v>17.600000000000001</v>
      </c>
      <c r="AT28" s="21">
        <v>3491</v>
      </c>
      <c r="AU28" s="24">
        <v>0.1</v>
      </c>
      <c r="AV28" s="96">
        <f t="shared" ref="AV28:AV31" si="154">(AU$10*AU28)-(AV$33*AU28)</f>
        <v>11.2</v>
      </c>
      <c r="AW28" s="21">
        <v>3421</v>
      </c>
      <c r="AX28" s="24">
        <v>0.1</v>
      </c>
      <c r="AY28" s="96">
        <f t="shared" ref="AY28:AY31" si="155">(AX$10*AX28)-(AY$33*AX28)</f>
        <v>10.400000000000002</v>
      </c>
      <c r="AZ28" s="21">
        <v>3536</v>
      </c>
      <c r="BA28" s="285">
        <f t="shared" si="47"/>
        <v>47994</v>
      </c>
    </row>
    <row r="29" spans="1:53" ht="15" thickBot="1" x14ac:dyDescent="0.35">
      <c r="A29" s="537"/>
      <c r="B29" s="63" t="s">
        <v>9</v>
      </c>
      <c r="C29" s="217" t="s">
        <v>58</v>
      </c>
      <c r="D29" s="177"/>
      <c r="E29" s="11"/>
      <c r="F29" s="193" t="s">
        <v>50</v>
      </c>
      <c r="G29" s="10">
        <v>43862</v>
      </c>
      <c r="H29" s="222">
        <v>44742</v>
      </c>
      <c r="I29" s="19"/>
      <c r="J29" s="20"/>
      <c r="K29" s="22"/>
      <c r="L29" s="107"/>
      <c r="M29" s="22"/>
      <c r="N29" s="22"/>
      <c r="O29" s="23"/>
      <c r="P29" s="63" t="s">
        <v>9</v>
      </c>
      <c r="Q29" s="24"/>
      <c r="R29" s="96">
        <f>(Q$10*Q29)-(R$17*Q29)</f>
        <v>0</v>
      </c>
      <c r="S29" s="129">
        <f>IF(Q$9&lt;$K$27,$O$27,$O$28)*Q29</f>
        <v>0</v>
      </c>
      <c r="T29" s="24">
        <v>0.5</v>
      </c>
      <c r="U29" s="96">
        <f t="shared" si="144"/>
        <v>80</v>
      </c>
      <c r="V29" s="21">
        <f t="shared" ref="V29:V31" si="156">(1/T$32)*IF(T$9&lt;$K$27,$O$27,$O$28)*T29</f>
        <v>17005</v>
      </c>
      <c r="W29" s="24">
        <v>0.5</v>
      </c>
      <c r="X29" s="96">
        <f t="shared" si="145"/>
        <v>88</v>
      </c>
      <c r="Y29" s="21">
        <f t="shared" ref="Y29:Y31" si="157">(1/W$32)*IF(W$9&lt;$K$27,$O$27,$O$28)*W29</f>
        <v>17005</v>
      </c>
      <c r="Z29" s="24">
        <v>0.5</v>
      </c>
      <c r="AA29" s="96">
        <f t="shared" si="146"/>
        <v>88</v>
      </c>
      <c r="AB29" s="21">
        <f t="shared" ref="AB29:AB31" si="158">(1/Z$32)*IF(Z$9&lt;$K$27,$O$27,$O$28)*Z29</f>
        <v>17005</v>
      </c>
      <c r="AC29" s="24">
        <v>0.5</v>
      </c>
      <c r="AD29" s="96">
        <f t="shared" si="147"/>
        <v>84</v>
      </c>
      <c r="AE29" s="21">
        <f t="shared" si="148"/>
        <v>17005</v>
      </c>
      <c r="AF29" s="24">
        <v>0.5</v>
      </c>
      <c r="AG29" s="96">
        <f t="shared" si="149"/>
        <v>84</v>
      </c>
      <c r="AH29" s="21">
        <f t="shared" ref="AH29:AH31" si="159">(1/AF$32)*IF(AF$9&lt;$K$27,$O$27,$O$28)*AF29</f>
        <v>17005</v>
      </c>
      <c r="AI29" s="24">
        <v>0.5</v>
      </c>
      <c r="AJ29" s="96">
        <f t="shared" si="150"/>
        <v>80</v>
      </c>
      <c r="AK29" s="21">
        <f t="shared" ref="AK29:AK31" si="160">(1/AI$32)*IF(AI$9&lt;$K$27,$O$27,$O$28)*AI29</f>
        <v>17005</v>
      </c>
      <c r="AL29" s="24">
        <v>0.5</v>
      </c>
      <c r="AM29" s="96">
        <f t="shared" si="151"/>
        <v>76</v>
      </c>
      <c r="AN29" s="21">
        <f t="shared" ref="AN29:AN31" si="161">(1/AL$32)*IF(AL$9&lt;$K$27,$O$27,$O$28)*AL29</f>
        <v>17005</v>
      </c>
      <c r="AO29" s="24">
        <v>0.5</v>
      </c>
      <c r="AP29" s="96">
        <f t="shared" si="152"/>
        <v>88</v>
      </c>
      <c r="AQ29" s="21">
        <f t="shared" ref="AQ29:AQ31" si="162">(1/AO$32)*IF(AO$9&lt;$K$27,$O$27,$O$28)*AO29</f>
        <v>17455.5</v>
      </c>
      <c r="AR29" s="24">
        <v>0.5</v>
      </c>
      <c r="AS29" s="96">
        <f t="shared" si="153"/>
        <v>88</v>
      </c>
      <c r="AT29" s="21">
        <f t="shared" ref="AT29:AT31" si="163">(1/AR$32)*IF(AR$9&lt;$K$27,$O$27,$O$28)*AR29</f>
        <v>17455.5</v>
      </c>
      <c r="AU29" s="24">
        <v>0.5</v>
      </c>
      <c r="AV29" s="96">
        <f t="shared" si="154"/>
        <v>56</v>
      </c>
      <c r="AW29" s="21">
        <f t="shared" ref="AW29:AW31" si="164">(1/AU$32)*IF(AU$9&lt;$K$27,$O$27,$O$28)*AU29</f>
        <v>17455.5</v>
      </c>
      <c r="AX29" s="24">
        <v>0.5</v>
      </c>
      <c r="AY29" s="96">
        <f t="shared" si="155"/>
        <v>52</v>
      </c>
      <c r="AZ29" s="21">
        <f t="shared" ref="AZ29:AZ31" si="165">(1/AX$32)*IF(AX$9&lt;$K$27,$O$27,$O$28)*AX29</f>
        <v>17455.5</v>
      </c>
      <c r="BA29" s="285">
        <f t="shared" si="47"/>
        <v>188857</v>
      </c>
    </row>
    <row r="30" spans="1:53" ht="15" thickBot="1" x14ac:dyDescent="0.35">
      <c r="A30" s="537"/>
      <c r="B30" s="63" t="s">
        <v>8</v>
      </c>
      <c r="C30" s="217" t="s">
        <v>58</v>
      </c>
      <c r="D30" s="177"/>
      <c r="E30" s="11"/>
      <c r="F30" s="193" t="s">
        <v>50</v>
      </c>
      <c r="G30" s="10">
        <v>43862</v>
      </c>
      <c r="H30" s="225">
        <v>44196</v>
      </c>
      <c r="I30" s="19"/>
      <c r="J30" s="20"/>
      <c r="K30" s="22"/>
      <c r="L30" s="109"/>
      <c r="M30" s="22"/>
      <c r="N30" s="22"/>
      <c r="O30" s="23"/>
      <c r="P30" s="63" t="s">
        <v>8</v>
      </c>
      <c r="Q30" s="24"/>
      <c r="R30" s="96">
        <f>(Q$10*Q30)-(R$17*Q30)</f>
        <v>0</v>
      </c>
      <c r="S30" s="129">
        <f>IF(Q$9&lt;$K$27,$O$27,$O$28)*Q30</f>
        <v>0</v>
      </c>
      <c r="T30" s="24">
        <v>0.1</v>
      </c>
      <c r="U30" s="96">
        <f t="shared" si="144"/>
        <v>16</v>
      </c>
      <c r="V30" s="21">
        <f t="shared" si="156"/>
        <v>3401</v>
      </c>
      <c r="W30" s="24">
        <v>0.1</v>
      </c>
      <c r="X30" s="96">
        <f t="shared" si="145"/>
        <v>17.600000000000001</v>
      </c>
      <c r="Y30" s="21">
        <f t="shared" si="157"/>
        <v>3401</v>
      </c>
      <c r="Z30" s="24">
        <v>0.1</v>
      </c>
      <c r="AA30" s="96">
        <f t="shared" si="146"/>
        <v>17.600000000000001</v>
      </c>
      <c r="AB30" s="21">
        <f t="shared" si="158"/>
        <v>3401</v>
      </c>
      <c r="AC30" s="24">
        <v>0.1</v>
      </c>
      <c r="AD30" s="96">
        <f t="shared" si="147"/>
        <v>16.8</v>
      </c>
      <c r="AE30" s="21">
        <f t="shared" si="148"/>
        <v>3401</v>
      </c>
      <c r="AF30" s="24">
        <v>0.1</v>
      </c>
      <c r="AG30" s="96">
        <f t="shared" si="149"/>
        <v>16.8</v>
      </c>
      <c r="AH30" s="21">
        <f t="shared" si="159"/>
        <v>3401</v>
      </c>
      <c r="AI30" s="24">
        <v>0.1</v>
      </c>
      <c r="AJ30" s="96">
        <f t="shared" si="150"/>
        <v>16</v>
      </c>
      <c r="AK30" s="21">
        <f t="shared" si="160"/>
        <v>3401</v>
      </c>
      <c r="AL30" s="24">
        <v>0.1</v>
      </c>
      <c r="AM30" s="96">
        <f t="shared" si="151"/>
        <v>15.200000000000001</v>
      </c>
      <c r="AN30" s="21">
        <f t="shared" si="161"/>
        <v>3401</v>
      </c>
      <c r="AO30" s="24">
        <v>0.1</v>
      </c>
      <c r="AP30" s="96">
        <f t="shared" si="152"/>
        <v>17.600000000000001</v>
      </c>
      <c r="AQ30" s="21">
        <f t="shared" si="162"/>
        <v>3491.1000000000004</v>
      </c>
      <c r="AR30" s="24">
        <v>0.1</v>
      </c>
      <c r="AS30" s="96">
        <f t="shared" si="153"/>
        <v>17.600000000000001</v>
      </c>
      <c r="AT30" s="21">
        <f t="shared" si="163"/>
        <v>3491.1000000000004</v>
      </c>
      <c r="AU30" s="24">
        <v>0.1</v>
      </c>
      <c r="AV30" s="96">
        <f t="shared" si="154"/>
        <v>11.2</v>
      </c>
      <c r="AW30" s="21">
        <f t="shared" si="164"/>
        <v>3491.1000000000004</v>
      </c>
      <c r="AX30" s="24">
        <v>0.1</v>
      </c>
      <c r="AY30" s="96">
        <f t="shared" si="155"/>
        <v>10.400000000000002</v>
      </c>
      <c r="AZ30" s="21">
        <f t="shared" si="165"/>
        <v>3491.1000000000004</v>
      </c>
      <c r="BA30" s="285">
        <f t="shared" si="47"/>
        <v>37771.399999999994</v>
      </c>
    </row>
    <row r="31" spans="1:53" ht="15" thickBot="1" x14ac:dyDescent="0.35">
      <c r="A31" s="537"/>
      <c r="B31" s="63" t="s">
        <v>29</v>
      </c>
      <c r="C31" s="217" t="s">
        <v>58</v>
      </c>
      <c r="D31" s="177"/>
      <c r="E31" s="11"/>
      <c r="F31" s="193" t="s">
        <v>50</v>
      </c>
      <c r="G31" s="10">
        <v>43952</v>
      </c>
      <c r="H31" s="168">
        <v>44926</v>
      </c>
      <c r="I31" s="19"/>
      <c r="J31" s="97"/>
      <c r="K31" s="98"/>
      <c r="L31" s="112"/>
      <c r="M31" s="98"/>
      <c r="N31" s="98"/>
      <c r="O31" s="137"/>
      <c r="P31" s="63" t="s">
        <v>29</v>
      </c>
      <c r="Q31" s="24"/>
      <c r="R31" s="96">
        <f>(Q$10*Q31)-(R$17*Q31)</f>
        <v>0</v>
      </c>
      <c r="S31" s="129">
        <f>IF(Q$9&lt;$K$27,$O$27,$O$28)*Q31</f>
        <v>0</v>
      </c>
      <c r="T31" s="24"/>
      <c r="U31" s="96">
        <f t="shared" si="144"/>
        <v>0</v>
      </c>
      <c r="V31" s="309">
        <f t="shared" si="156"/>
        <v>0</v>
      </c>
      <c r="W31" s="24"/>
      <c r="X31" s="96">
        <f t="shared" si="145"/>
        <v>0</v>
      </c>
      <c r="Y31" s="309">
        <f t="shared" si="157"/>
        <v>0</v>
      </c>
      <c r="Z31" s="24"/>
      <c r="AA31" s="96">
        <f t="shared" si="146"/>
        <v>0</v>
      </c>
      <c r="AB31" s="309">
        <f t="shared" si="158"/>
        <v>0</v>
      </c>
      <c r="AC31" s="24">
        <v>0.25</v>
      </c>
      <c r="AD31" s="96">
        <f t="shared" si="147"/>
        <v>42</v>
      </c>
      <c r="AE31" s="308">
        <f t="shared" si="148"/>
        <v>8502.5</v>
      </c>
      <c r="AF31" s="24">
        <v>0.25</v>
      </c>
      <c r="AG31" s="96">
        <f t="shared" si="149"/>
        <v>42</v>
      </c>
      <c r="AH31" s="308">
        <f t="shared" si="159"/>
        <v>8502.5</v>
      </c>
      <c r="AI31" s="24">
        <v>0.25</v>
      </c>
      <c r="AJ31" s="96">
        <f t="shared" si="150"/>
        <v>40</v>
      </c>
      <c r="AK31" s="308">
        <f t="shared" si="160"/>
        <v>8502.5</v>
      </c>
      <c r="AL31" s="24">
        <v>0.25</v>
      </c>
      <c r="AM31" s="96">
        <f t="shared" si="151"/>
        <v>38</v>
      </c>
      <c r="AN31" s="308">
        <f t="shared" si="161"/>
        <v>8502.5</v>
      </c>
      <c r="AO31" s="24">
        <v>0.25</v>
      </c>
      <c r="AP31" s="96">
        <f t="shared" si="152"/>
        <v>44</v>
      </c>
      <c r="AQ31" s="308">
        <f t="shared" si="162"/>
        <v>8727.75</v>
      </c>
      <c r="AR31" s="24">
        <v>0.25</v>
      </c>
      <c r="AS31" s="96">
        <f t="shared" si="153"/>
        <v>44</v>
      </c>
      <c r="AT31" s="308">
        <f t="shared" si="163"/>
        <v>8727.75</v>
      </c>
      <c r="AU31" s="24">
        <v>0.25</v>
      </c>
      <c r="AV31" s="96">
        <f t="shared" si="154"/>
        <v>28</v>
      </c>
      <c r="AW31" s="308">
        <f t="shared" si="164"/>
        <v>8727.75</v>
      </c>
      <c r="AX31" s="24">
        <v>0.25</v>
      </c>
      <c r="AY31" s="96">
        <f t="shared" si="155"/>
        <v>26</v>
      </c>
      <c r="AZ31" s="308">
        <f t="shared" si="165"/>
        <v>8727.75</v>
      </c>
      <c r="BA31" s="285">
        <f t="shared" si="47"/>
        <v>68921</v>
      </c>
    </row>
    <row r="32" spans="1:53" ht="15" thickBot="1" x14ac:dyDescent="0.35">
      <c r="A32" s="537"/>
      <c r="B32" s="64" t="s">
        <v>36</v>
      </c>
      <c r="C32" s="336"/>
      <c r="D32" s="177"/>
      <c r="E32" s="11"/>
      <c r="F32" s="188"/>
      <c r="G32" s="12"/>
      <c r="H32" s="226"/>
      <c r="I32" s="19"/>
      <c r="J32" s="20"/>
      <c r="K32" s="22"/>
      <c r="L32" s="107"/>
      <c r="M32" s="22"/>
      <c r="N32" s="22"/>
      <c r="O32" s="23"/>
      <c r="P32" s="63" t="s">
        <v>36</v>
      </c>
      <c r="Q32" s="27">
        <f t="shared" ref="Q32" si="166">SUM(Q27:Q31)</f>
        <v>0</v>
      </c>
      <c r="R32" s="77">
        <f t="shared" ref="R32" si="167">SUM(R27:R31)</f>
        <v>0</v>
      </c>
      <c r="S32" s="28">
        <f t="shared" ref="S32" si="168">SUM(S27:S31)</f>
        <v>0</v>
      </c>
      <c r="T32" s="27">
        <f t="shared" ref="T32:V32" si="169">SUM(T27:T31)</f>
        <v>1</v>
      </c>
      <c r="U32" s="77">
        <f t="shared" si="169"/>
        <v>160</v>
      </c>
      <c r="V32" s="28">
        <f t="shared" si="169"/>
        <v>34010</v>
      </c>
      <c r="W32" s="27">
        <f t="shared" ref="W32:AB32" si="170">SUM(W27:W31)</f>
        <v>1</v>
      </c>
      <c r="X32" s="77">
        <f t="shared" si="170"/>
        <v>176</v>
      </c>
      <c r="Y32" s="28">
        <f t="shared" si="170"/>
        <v>34010</v>
      </c>
      <c r="Z32" s="27">
        <f t="shared" si="170"/>
        <v>1</v>
      </c>
      <c r="AA32" s="77">
        <f t="shared" si="170"/>
        <v>176</v>
      </c>
      <c r="AB32" s="28">
        <f t="shared" si="170"/>
        <v>34025</v>
      </c>
      <c r="AC32" s="27">
        <f t="shared" ref="AC32" si="171">SUM(AC27:AC31)</f>
        <v>1</v>
      </c>
      <c r="AD32" s="77">
        <f t="shared" ref="AD32" si="172">SUM(AD27:AD31)</f>
        <v>168</v>
      </c>
      <c r="AE32" s="28">
        <f t="shared" ref="AE32:AG32" si="173">SUM(AE27:AE31)</f>
        <v>34010</v>
      </c>
      <c r="AF32" s="27">
        <f t="shared" si="173"/>
        <v>1</v>
      </c>
      <c r="AG32" s="77">
        <f t="shared" si="173"/>
        <v>168</v>
      </c>
      <c r="AH32" s="28">
        <f t="shared" ref="AH32:AM32" si="174">SUM(AH27:AH31)</f>
        <v>34018</v>
      </c>
      <c r="AI32" s="27">
        <f t="shared" si="174"/>
        <v>1</v>
      </c>
      <c r="AJ32" s="77">
        <f t="shared" si="174"/>
        <v>160</v>
      </c>
      <c r="AK32" s="28">
        <f t="shared" si="174"/>
        <v>34036</v>
      </c>
      <c r="AL32" s="27">
        <f t="shared" si="174"/>
        <v>1</v>
      </c>
      <c r="AM32" s="77">
        <f t="shared" si="174"/>
        <v>152</v>
      </c>
      <c r="AN32" s="28">
        <f t="shared" ref="AN32:AZ32" si="175">SUM(AN27:AN31)</f>
        <v>33999</v>
      </c>
      <c r="AO32" s="27">
        <f t="shared" si="175"/>
        <v>1</v>
      </c>
      <c r="AP32" s="77">
        <f t="shared" si="175"/>
        <v>176</v>
      </c>
      <c r="AQ32" s="28">
        <f t="shared" si="175"/>
        <v>34917.9</v>
      </c>
      <c r="AR32" s="27">
        <f t="shared" si="175"/>
        <v>1</v>
      </c>
      <c r="AS32" s="77">
        <f t="shared" si="175"/>
        <v>176</v>
      </c>
      <c r="AT32" s="28">
        <f t="shared" si="175"/>
        <v>34910.9</v>
      </c>
      <c r="AU32" s="27">
        <f t="shared" si="175"/>
        <v>1</v>
      </c>
      <c r="AV32" s="77">
        <f t="shared" si="175"/>
        <v>112</v>
      </c>
      <c r="AW32" s="28">
        <f t="shared" si="175"/>
        <v>34840.9</v>
      </c>
      <c r="AX32" s="27">
        <f t="shared" si="175"/>
        <v>1</v>
      </c>
      <c r="AY32" s="77">
        <f t="shared" si="175"/>
        <v>104.00000000000001</v>
      </c>
      <c r="AZ32" s="28">
        <f t="shared" si="175"/>
        <v>34955.9</v>
      </c>
      <c r="BA32" s="285">
        <f t="shared" si="47"/>
        <v>377733.60000000009</v>
      </c>
    </row>
    <row r="33" spans="1:55" ht="15" thickBot="1" x14ac:dyDescent="0.35">
      <c r="A33" s="538"/>
      <c r="B33" s="339" t="s">
        <v>27</v>
      </c>
      <c r="C33" s="337"/>
      <c r="D33" s="178"/>
      <c r="E33" s="74"/>
      <c r="F33" s="189"/>
      <c r="G33" s="75"/>
      <c r="H33" s="227"/>
      <c r="I33" s="76"/>
      <c r="J33" s="29"/>
      <c r="K33" s="108"/>
      <c r="L33" s="113"/>
      <c r="M33" s="108"/>
      <c r="N33" s="108"/>
      <c r="O33" s="99"/>
      <c r="P33" s="340" t="s">
        <v>27</v>
      </c>
      <c r="Q33" s="25"/>
      <c r="R33" s="78">
        <f t="shared" ref="R33" si="176">Q33*8*Q32</f>
        <v>0</v>
      </c>
      <c r="S33" s="13"/>
      <c r="T33" s="25">
        <v>0</v>
      </c>
      <c r="U33" s="78">
        <f t="shared" ref="U33" si="177">T33*8*T32</f>
        <v>0</v>
      </c>
      <c r="V33" s="13"/>
      <c r="W33" s="25">
        <v>0</v>
      </c>
      <c r="X33" s="78">
        <f t="shared" ref="X33" si="178">W33*8*W32</f>
        <v>0</v>
      </c>
      <c r="Y33" s="13"/>
      <c r="Z33" s="25">
        <v>0</v>
      </c>
      <c r="AA33" s="78">
        <f t="shared" ref="AA33" si="179">Z33*8*Z32</f>
        <v>0</v>
      </c>
      <c r="AB33" s="13"/>
      <c r="AC33" s="25">
        <v>0</v>
      </c>
      <c r="AD33" s="78">
        <f t="shared" ref="AD33" si="180">AC33*8*AC32</f>
        <v>0</v>
      </c>
      <c r="AE33" s="13"/>
      <c r="AF33" s="25">
        <v>1</v>
      </c>
      <c r="AG33" s="78">
        <f t="shared" ref="AG33" si="181">AF33*8*AF32</f>
        <v>8</v>
      </c>
      <c r="AH33" s="13"/>
      <c r="AI33" s="25">
        <v>3</v>
      </c>
      <c r="AJ33" s="78">
        <f t="shared" ref="AJ33" si="182">AI33*8*AI32</f>
        <v>24</v>
      </c>
      <c r="AK33" s="13"/>
      <c r="AL33" s="25">
        <v>2</v>
      </c>
      <c r="AM33" s="78">
        <f t="shared" ref="AM33" si="183">AL33*8*AL32</f>
        <v>16</v>
      </c>
      <c r="AN33" s="13"/>
      <c r="AO33" s="25">
        <v>0</v>
      </c>
      <c r="AP33" s="78">
        <f t="shared" ref="AP33" si="184">AO33*8*AO32</f>
        <v>0</v>
      </c>
      <c r="AQ33" s="13"/>
      <c r="AR33" s="25">
        <v>0</v>
      </c>
      <c r="AS33" s="78">
        <f t="shared" ref="AS33" si="185">AR33*8*AR32</f>
        <v>0</v>
      </c>
      <c r="AT33" s="13"/>
      <c r="AU33" s="25">
        <v>7</v>
      </c>
      <c r="AV33" s="78">
        <f t="shared" ref="AV33" si="186">AU33*8*AU32</f>
        <v>56</v>
      </c>
      <c r="AW33" s="13"/>
      <c r="AX33" s="25">
        <v>10</v>
      </c>
      <c r="AY33" s="78">
        <f t="shared" ref="AY33" si="187">AX33*8*AX32</f>
        <v>80</v>
      </c>
      <c r="AZ33" s="13"/>
      <c r="BA33" s="344">
        <f>23-(Q33+T33+W33+Z33+AC33+AF33+AI33+AL33+AO33+AR33+AU33+AX33)</f>
        <v>0</v>
      </c>
    </row>
    <row r="34" spans="1:55" ht="15" thickBot="1" x14ac:dyDescent="0.35">
      <c r="A34" s="536" t="s">
        <v>66</v>
      </c>
      <c r="B34" s="62" t="s">
        <v>7</v>
      </c>
      <c r="C34" s="197" t="s">
        <v>57</v>
      </c>
      <c r="D34" s="176">
        <v>0</v>
      </c>
      <c r="E34" s="131" t="s">
        <v>1</v>
      </c>
      <c r="F34" s="187" t="s">
        <v>50</v>
      </c>
      <c r="G34" s="132">
        <v>43891</v>
      </c>
      <c r="H34" s="221"/>
      <c r="I34" s="130"/>
      <c r="J34" s="133">
        <v>43891</v>
      </c>
      <c r="K34" s="132">
        <v>44196</v>
      </c>
      <c r="L34" s="134" t="s">
        <v>49</v>
      </c>
      <c r="M34" s="15">
        <f>17088+5696+5696</f>
        <v>28480</v>
      </c>
      <c r="N34" s="15">
        <f>5000+5000+15000</f>
        <v>25000</v>
      </c>
      <c r="O34" s="135">
        <f>N34+M34</f>
        <v>53480</v>
      </c>
      <c r="P34" s="125" t="s">
        <v>7</v>
      </c>
      <c r="Q34" s="24"/>
      <c r="R34" s="117">
        <f>(Q$10*Q34)-(R$44*Q34)</f>
        <v>0</v>
      </c>
      <c r="S34" s="129">
        <f>IF(Q$9&lt;$K$34,$O$34,$O$35)*Q34</f>
        <v>0</v>
      </c>
      <c r="T34" s="24"/>
      <c r="U34" s="117">
        <f>(T$10*T34)-(U$44*T34)</f>
        <v>0</v>
      </c>
      <c r="V34" s="129">
        <f>IF(T$9&lt;$K$34,$O$34,$O$35)*T34</f>
        <v>0</v>
      </c>
      <c r="W34" s="24">
        <v>0.2</v>
      </c>
      <c r="X34" s="117">
        <f t="shared" ref="X34:Y36" si="188">(W$10*W34)-(X$38*W34)</f>
        <v>35.200000000000003</v>
      </c>
      <c r="Y34" s="21">
        <f>(1/W$37)*IF(W$9&lt;$K$34,$O$34,$O$35)*W34</f>
        <v>10696</v>
      </c>
      <c r="Z34" s="24">
        <v>0.2</v>
      </c>
      <c r="AA34" s="117">
        <f t="shared" ref="AA34" si="189">(Z$10*Z34)-(AA$38*Z34)</f>
        <v>35.200000000000003</v>
      </c>
      <c r="AB34" s="21">
        <f>(1/Z$37)*IF(Z$9&lt;$K$34,$O$34,$O$35)*Z34</f>
        <v>10696</v>
      </c>
      <c r="AC34" s="24">
        <v>0.05</v>
      </c>
      <c r="AD34" s="117">
        <f t="shared" ref="AD34" si="190">(AC$10*AC34)-(AD$38*AC34)</f>
        <v>8.4</v>
      </c>
      <c r="AE34" s="21">
        <f>(1/AC$37)*IF(AC$9&lt;$K$34,$O$34,$O$35)*AC34</f>
        <v>2674</v>
      </c>
      <c r="AF34" s="24">
        <v>0.05</v>
      </c>
      <c r="AG34" s="117">
        <f t="shared" ref="AG34" si="191">(AF$10*AF34)-(AG$38*AF34)</f>
        <v>8.8000000000000007</v>
      </c>
      <c r="AH34" s="21">
        <f>(1/AF$37)*IF(AF$9&lt;$K$34,$O$34,$O$35)*AF34</f>
        <v>2674</v>
      </c>
      <c r="AI34" s="24">
        <v>0.05</v>
      </c>
      <c r="AJ34" s="117">
        <f t="shared" ref="AJ34" si="192">(AI$10*AI34)-(AJ$38*AI34)</f>
        <v>9.2000000000000011</v>
      </c>
      <c r="AK34" s="21">
        <f>(1/AI$37)*IF(AI$9&lt;$K$34,$O$34,$O$35)*AI34</f>
        <v>2674</v>
      </c>
      <c r="AL34" s="24">
        <v>0.05</v>
      </c>
      <c r="AM34" s="117">
        <f t="shared" ref="AM34" si="193">(AL$10*AL34)-(AM$38*AL34)</f>
        <v>4.4000000000000004</v>
      </c>
      <c r="AN34" s="21">
        <f>(1/AL$37)*IF(AL$9&lt;$K$34,$O$34,$O$35)*AL34</f>
        <v>2674</v>
      </c>
      <c r="AO34" s="24">
        <v>0.05</v>
      </c>
      <c r="AP34" s="117">
        <f t="shared" ref="AP34" si="194">(AO$10*AO34)-(AP$38*AO34)</f>
        <v>8.8000000000000007</v>
      </c>
      <c r="AQ34" s="21">
        <f>(1/AO$37)*IF(AO$9&lt;$K$34,$O$34,$O$35)*AO34</f>
        <v>2674</v>
      </c>
      <c r="AR34" s="24">
        <v>0.05</v>
      </c>
      <c r="AS34" s="117">
        <f t="shared" ref="AS34" si="195">(AR$10*AR34)-(AS$38*AR34)</f>
        <v>8.8000000000000007</v>
      </c>
      <c r="AT34" s="21">
        <f>(1/AR$37)*IF(AR$9&lt;$K$34,$O$34,$O$35)*AR34</f>
        <v>2674</v>
      </c>
      <c r="AU34" s="24">
        <v>0.05</v>
      </c>
      <c r="AV34" s="117">
        <f t="shared" ref="AV34" si="196">(AU$10*AU34)-(AV$38*AU34)</f>
        <v>8</v>
      </c>
      <c r="AW34" s="21">
        <f>(1/AU$37)*IF(AU$9&lt;$K$34,$O$34,$O$35)*AU34</f>
        <v>2674</v>
      </c>
      <c r="AX34" s="24">
        <v>0.05</v>
      </c>
      <c r="AY34" s="117">
        <f t="shared" ref="AY34" si="197">(AX$10*AX34)-(AY$38*AX34)</f>
        <v>5.2000000000000011</v>
      </c>
      <c r="AZ34" s="18">
        <f>(1/AX$37)*IF(AX$9&lt;$K$34,$O$34,$O$35)*AX34</f>
        <v>2674</v>
      </c>
      <c r="BA34" s="285">
        <f t="shared" si="47"/>
        <v>42784</v>
      </c>
    </row>
    <row r="35" spans="1:55" ht="15" thickBot="1" x14ac:dyDescent="0.35">
      <c r="A35" s="537"/>
      <c r="B35" s="63" t="s">
        <v>6</v>
      </c>
      <c r="C35" s="217" t="s">
        <v>58</v>
      </c>
      <c r="D35" s="177"/>
      <c r="E35" s="11"/>
      <c r="F35" s="193" t="s">
        <v>50</v>
      </c>
      <c r="G35" s="10">
        <v>43891</v>
      </c>
      <c r="H35" s="225">
        <v>45230</v>
      </c>
      <c r="I35" s="19"/>
      <c r="J35" s="20"/>
      <c r="K35" s="22"/>
      <c r="L35" s="107"/>
      <c r="M35" s="98"/>
      <c r="N35" s="22"/>
      <c r="O35" s="23"/>
      <c r="P35" s="125" t="s">
        <v>6</v>
      </c>
      <c r="Q35" s="24"/>
      <c r="R35" s="117">
        <f>(Q$10*Q35)-(R$44*Q35)</f>
        <v>0</v>
      </c>
      <c r="S35" s="129">
        <f>IF(Q$9&lt;$K$34,$O$34,$O$35)*Q35</f>
        <v>0</v>
      </c>
      <c r="T35" s="24"/>
      <c r="U35" s="117">
        <f>(T$10*T35)-(U$44*T35)</f>
        <v>0</v>
      </c>
      <c r="V35" s="129">
        <f>IF(T$9&lt;$K$34,$O$34,$O$35)*T35</f>
        <v>0</v>
      </c>
      <c r="W35" s="24">
        <v>0.2</v>
      </c>
      <c r="X35" s="117">
        <f t="shared" si="188"/>
        <v>35.200000000000003</v>
      </c>
      <c r="Y35" s="117">
        <f t="shared" si="188"/>
        <v>0</v>
      </c>
      <c r="Z35" s="24">
        <v>0.2</v>
      </c>
      <c r="AA35" s="117">
        <f t="shared" ref="AA35" si="198">(Z$10*Z35)-(AA$38*Z35)</f>
        <v>35.200000000000003</v>
      </c>
      <c r="AB35" s="21">
        <f>(1/Z$37)*IF(Z$9&lt;$K$34,$O$34,$O$35)*Z35</f>
        <v>10696</v>
      </c>
      <c r="AC35" s="450">
        <v>0.65</v>
      </c>
      <c r="AD35" s="117">
        <f t="shared" ref="AD35" si="199">(AC$10*AC35)-(AD$38*AC35)</f>
        <v>109.2</v>
      </c>
      <c r="AE35" s="21">
        <f>(1/AC$37)*IF(AC$9&lt;$K$34,$O$34,$O$35)*AC35</f>
        <v>34762</v>
      </c>
      <c r="AF35" s="24">
        <v>0.65</v>
      </c>
      <c r="AG35" s="117">
        <f t="shared" ref="AG35" si="200">(AF$10*AF35)-(AG$38*AF35)</f>
        <v>114.4</v>
      </c>
      <c r="AH35" s="21">
        <f>(1/AF$37)*IF(AF$9&lt;$K$34,$O$34,$O$35)*AF35</f>
        <v>34762</v>
      </c>
      <c r="AI35" s="24">
        <v>0.65</v>
      </c>
      <c r="AJ35" s="117">
        <f t="shared" ref="AJ35" si="201">(AI$10*AI35)-(AJ$38*AI35)</f>
        <v>119.60000000000001</v>
      </c>
      <c r="AK35" s="21">
        <f>(1/AI$37)*IF(AI$9&lt;$K$34,$O$34,$O$35)*AI35</f>
        <v>34762</v>
      </c>
      <c r="AL35" s="24">
        <v>0.65</v>
      </c>
      <c r="AM35" s="117">
        <f t="shared" ref="AM35" si="202">(AL$10*AL35)-(AM$38*AL35)</f>
        <v>57.2</v>
      </c>
      <c r="AN35" s="21">
        <v>34327</v>
      </c>
      <c r="AO35" s="24">
        <v>0.65</v>
      </c>
      <c r="AP35" s="117">
        <f t="shared" ref="AP35" si="203">(AO$10*AO35)-(AP$38*AO35)</f>
        <v>114.4</v>
      </c>
      <c r="AQ35" s="21">
        <f>(1/AO$37)*IF(AO$9&lt;$K$34,$O$34,$O$35)*AO35</f>
        <v>34762</v>
      </c>
      <c r="AR35" s="24">
        <v>0.65</v>
      </c>
      <c r="AS35" s="117">
        <f t="shared" ref="AS35" si="204">(AR$10*AR35)-(AS$38*AR35)</f>
        <v>114.4</v>
      </c>
      <c r="AT35" s="21">
        <f>(1/AR$37)*IF(AR$9&lt;$K$34,$O$34,$O$35)*AR35</f>
        <v>34762</v>
      </c>
      <c r="AU35" s="24">
        <v>0.65</v>
      </c>
      <c r="AV35" s="117">
        <f t="shared" ref="AV35" si="205">(AU$10*AU35)-(AV$38*AU35)</f>
        <v>104</v>
      </c>
      <c r="AW35" s="21">
        <v>34674</v>
      </c>
      <c r="AX35" s="24">
        <v>0.65</v>
      </c>
      <c r="AY35" s="117">
        <f t="shared" ref="AY35" si="206">(AX$10*AX35)-(AY$38*AX35)</f>
        <v>67.600000000000009</v>
      </c>
      <c r="AZ35" s="18">
        <v>35316</v>
      </c>
      <c r="BA35" s="285">
        <f t="shared" si="47"/>
        <v>288823</v>
      </c>
    </row>
    <row r="36" spans="1:55" ht="15" thickBot="1" x14ac:dyDescent="0.35">
      <c r="A36" s="537"/>
      <c r="B36" s="63" t="s">
        <v>9</v>
      </c>
      <c r="C36" s="217" t="s">
        <v>58</v>
      </c>
      <c r="D36" s="177"/>
      <c r="E36" s="11"/>
      <c r="F36" s="193" t="s">
        <v>50</v>
      </c>
      <c r="G36" s="10">
        <v>43891</v>
      </c>
      <c r="H36" s="222">
        <v>44742</v>
      </c>
      <c r="I36" s="19"/>
      <c r="J36" s="115"/>
      <c r="K36" s="114"/>
      <c r="L36" s="122"/>
      <c r="M36" s="114"/>
      <c r="N36" s="114"/>
      <c r="O36" s="103"/>
      <c r="P36" s="125" t="s">
        <v>9</v>
      </c>
      <c r="Q36" s="24"/>
      <c r="R36" s="117">
        <f>(Q$10*Q36)-(R$44*Q36)</f>
        <v>0</v>
      </c>
      <c r="S36" s="129">
        <f>IF(Q$9&lt;$K$34,$O$34,$O$35)*Q36</f>
        <v>0</v>
      </c>
      <c r="T36" s="24"/>
      <c r="U36" s="117">
        <f>(T$10*T36)-(U$44*T36)</f>
        <v>0</v>
      </c>
      <c r="V36" s="129">
        <f>IF(T$9&lt;$K$34,$O$34,$O$35)*T36</f>
        <v>0</v>
      </c>
      <c r="W36" s="24">
        <v>0.6</v>
      </c>
      <c r="X36" s="117">
        <f>(W$10*W36)-(X$38*W36)</f>
        <v>105.6</v>
      </c>
      <c r="Y36" s="117">
        <f t="shared" si="188"/>
        <v>0</v>
      </c>
      <c r="Z36" s="24">
        <v>0.6</v>
      </c>
      <c r="AA36" s="117">
        <f>(Z$10*Z36)-(AA$38*Z36)</f>
        <v>105.6</v>
      </c>
      <c r="AB36" s="21">
        <f>(1/Z$37)*IF(Z$9&lt;$K$34,$O$34,$O$35)*Z36</f>
        <v>32088</v>
      </c>
      <c r="AC36" s="24">
        <v>0.3</v>
      </c>
      <c r="AD36" s="117">
        <f>(AC$10*AC36)-(AD$38*AC36)</f>
        <v>50.4</v>
      </c>
      <c r="AE36" s="21">
        <f>(1/AC$37)*IF(AC$9&lt;$K$34,$O$34,$O$35)*AC36</f>
        <v>16044</v>
      </c>
      <c r="AF36" s="24">
        <v>0.3</v>
      </c>
      <c r="AG36" s="117">
        <f>(AF$10*AF36)-(AG$38*AF36)</f>
        <v>52.8</v>
      </c>
      <c r="AH36" s="21">
        <f>(1/AF$37)*IF(AF$9&lt;$K$34,$O$34,$O$35)*AF36</f>
        <v>16044</v>
      </c>
      <c r="AI36" s="24">
        <v>0.3</v>
      </c>
      <c r="AJ36" s="117">
        <f>(AI$10*AI36)-(AJ$38*AI36)</f>
        <v>55.199999999999996</v>
      </c>
      <c r="AK36" s="21">
        <f>(1/AI$37)*IF(AI$9&lt;$K$34,$O$34,$O$35)*AI36</f>
        <v>16044</v>
      </c>
      <c r="AL36" s="24">
        <v>0.3</v>
      </c>
      <c r="AM36" s="117">
        <f>(AL$10*AL36)-(AM$38*AL36)</f>
        <v>26.4</v>
      </c>
      <c r="AN36" s="21">
        <f>(1/AL$37)*IF(AL$9&lt;$K$34,$O$34,$O$35)*AL36</f>
        <v>16044</v>
      </c>
      <c r="AO36" s="24">
        <v>0.3</v>
      </c>
      <c r="AP36" s="117">
        <f>(AO$10*AO36)-(AP$38*AO36)</f>
        <v>52.8</v>
      </c>
      <c r="AQ36" s="21">
        <f>(1/AO$37)*IF(AO$9&lt;$K$34,$O$34,$O$35)*AO36</f>
        <v>16044</v>
      </c>
      <c r="AR36" s="24">
        <v>0.3</v>
      </c>
      <c r="AS36" s="117">
        <f>(AR$10*AR36)-(AS$38*AR36)</f>
        <v>52.8</v>
      </c>
      <c r="AT36" s="21">
        <f>(1/AR$37)*IF(AR$9&lt;$K$34,$O$34,$O$35)*AR36</f>
        <v>16044</v>
      </c>
      <c r="AU36" s="24">
        <v>0.3</v>
      </c>
      <c r="AV36" s="117">
        <f>(AU$10*AU36)-(AV$38*AU36)</f>
        <v>48</v>
      </c>
      <c r="AW36" s="21">
        <f>(1/AU$37)*IF(AU$9&lt;$K$34,$O$34,$O$35)*AU36</f>
        <v>16044</v>
      </c>
      <c r="AX36" s="24">
        <v>0.3</v>
      </c>
      <c r="AY36" s="117">
        <f>(AX$10*AX36)-(AY$38*AX36)</f>
        <v>31.199999999999996</v>
      </c>
      <c r="AZ36" s="18">
        <f>(1/AX$37)*IF(AX$9&lt;$K$34,$O$34,$O$35)*AX36</f>
        <v>16044</v>
      </c>
      <c r="BA36" s="285">
        <f t="shared" si="47"/>
        <v>160440</v>
      </c>
    </row>
    <row r="37" spans="1:55" ht="15" thickBot="1" x14ac:dyDescent="0.35">
      <c r="A37" s="537"/>
      <c r="B37" s="64" t="s">
        <v>36</v>
      </c>
      <c r="C37" s="219"/>
      <c r="D37" s="177"/>
      <c r="E37" s="11"/>
      <c r="F37" s="188"/>
      <c r="G37" s="10"/>
      <c r="H37" s="225"/>
      <c r="I37" s="19"/>
      <c r="J37" s="20"/>
      <c r="K37" s="1"/>
      <c r="L37" s="1"/>
      <c r="M37" s="1"/>
      <c r="N37" s="1"/>
      <c r="O37" s="21"/>
      <c r="P37" s="121" t="s">
        <v>36</v>
      </c>
      <c r="Q37" s="274">
        <f>SUM(Q34:Q36)</f>
        <v>0</v>
      </c>
      <c r="R37" s="77">
        <f>SUM(R34:R36)</f>
        <v>0</v>
      </c>
      <c r="S37" s="129">
        <f>IF(Q$9&lt;$K$34,$O$34,$O$35)*Q37</f>
        <v>0</v>
      </c>
      <c r="T37" s="274">
        <f>SUM(T34:T36)</f>
        <v>0</v>
      </c>
      <c r="U37" s="77">
        <f>SUM(U34:U36)</f>
        <v>0</v>
      </c>
      <c r="V37" s="129">
        <f>IF(T$9&lt;$K$34,$O$34,$O$35)*T37</f>
        <v>0</v>
      </c>
      <c r="W37" s="274">
        <f t="shared" ref="W37:AZ37" si="207">SUM(W34:W36)</f>
        <v>1</v>
      </c>
      <c r="X37" s="209">
        <f t="shared" si="207"/>
        <v>176</v>
      </c>
      <c r="Y37" s="117">
        <f>(X$10*X37)-(Y$38*X37)</f>
        <v>0</v>
      </c>
      <c r="Z37" s="274">
        <f t="shared" si="207"/>
        <v>1</v>
      </c>
      <c r="AA37" s="209">
        <f t="shared" si="207"/>
        <v>176</v>
      </c>
      <c r="AB37" s="28">
        <f t="shared" si="207"/>
        <v>53480</v>
      </c>
      <c r="AC37" s="274">
        <f t="shared" si="207"/>
        <v>1</v>
      </c>
      <c r="AD37" s="209">
        <f t="shared" si="207"/>
        <v>168</v>
      </c>
      <c r="AE37" s="28">
        <f t="shared" si="207"/>
        <v>53480</v>
      </c>
      <c r="AF37" s="27">
        <f t="shared" si="207"/>
        <v>1</v>
      </c>
      <c r="AG37" s="305">
        <f t="shared" si="207"/>
        <v>176</v>
      </c>
      <c r="AH37" s="28">
        <f t="shared" si="207"/>
        <v>53480</v>
      </c>
      <c r="AI37" s="274">
        <f t="shared" si="207"/>
        <v>1</v>
      </c>
      <c r="AJ37" s="209">
        <f t="shared" si="207"/>
        <v>184</v>
      </c>
      <c r="AK37" s="28">
        <f t="shared" si="207"/>
        <v>53480</v>
      </c>
      <c r="AL37" s="274">
        <f t="shared" si="207"/>
        <v>1</v>
      </c>
      <c r="AM37" s="209">
        <f t="shared" si="207"/>
        <v>88</v>
      </c>
      <c r="AN37" s="28">
        <f t="shared" si="207"/>
        <v>53045</v>
      </c>
      <c r="AO37" s="27">
        <f t="shared" si="207"/>
        <v>1</v>
      </c>
      <c r="AP37" s="305">
        <f t="shared" si="207"/>
        <v>176</v>
      </c>
      <c r="AQ37" s="28">
        <f t="shared" si="207"/>
        <v>53480</v>
      </c>
      <c r="AR37" s="274">
        <f t="shared" si="207"/>
        <v>1</v>
      </c>
      <c r="AS37" s="77">
        <f t="shared" si="207"/>
        <v>176</v>
      </c>
      <c r="AT37" s="304">
        <f t="shared" si="207"/>
        <v>53480</v>
      </c>
      <c r="AU37" s="27">
        <f t="shared" si="207"/>
        <v>1</v>
      </c>
      <c r="AV37" s="305">
        <f t="shared" si="207"/>
        <v>160</v>
      </c>
      <c r="AW37" s="28">
        <f t="shared" si="207"/>
        <v>53392</v>
      </c>
      <c r="AX37" s="274">
        <f t="shared" si="207"/>
        <v>1</v>
      </c>
      <c r="AY37" s="77">
        <f t="shared" si="207"/>
        <v>104</v>
      </c>
      <c r="AZ37" s="305">
        <f t="shared" si="207"/>
        <v>54034</v>
      </c>
      <c r="BA37" s="285">
        <f t="shared" si="47"/>
        <v>481351</v>
      </c>
    </row>
    <row r="38" spans="1:55" ht="15" thickBot="1" x14ac:dyDescent="0.35">
      <c r="A38" s="538"/>
      <c r="B38" s="339" t="s">
        <v>27</v>
      </c>
      <c r="C38" s="164"/>
      <c r="D38" s="178"/>
      <c r="E38" s="74"/>
      <c r="F38" s="189"/>
      <c r="G38" s="75"/>
      <c r="H38" s="227"/>
      <c r="I38" s="76"/>
      <c r="J38" s="29"/>
      <c r="K38" s="7"/>
      <c r="L38" s="7"/>
      <c r="M38" s="7"/>
      <c r="N38" s="7"/>
      <c r="O38" s="30"/>
      <c r="P38" s="341" t="s">
        <v>27</v>
      </c>
      <c r="Q38" s="46"/>
      <c r="R38" s="47">
        <f>Q38*8*Q37</f>
        <v>0</v>
      </c>
      <c r="S38" s="48"/>
      <c r="T38" s="46"/>
      <c r="U38" s="47">
        <f>T38*8*T37</f>
        <v>0</v>
      </c>
      <c r="V38" s="48"/>
      <c r="W38" s="46">
        <v>0</v>
      </c>
      <c r="X38" s="47">
        <f t="shared" ref="X38" si="208">W38*8*W37</f>
        <v>0</v>
      </c>
      <c r="Y38" s="48"/>
      <c r="Z38" s="46">
        <v>0</v>
      </c>
      <c r="AA38" s="47">
        <f t="shared" ref="AA38" si="209">Z38*8*Z37</f>
        <v>0</v>
      </c>
      <c r="AB38" s="48"/>
      <c r="AC38" s="46">
        <v>0</v>
      </c>
      <c r="AD38" s="47">
        <f t="shared" ref="AD38" si="210">AC38*8*AC37</f>
        <v>0</v>
      </c>
      <c r="AE38" s="48"/>
      <c r="AF38" s="46">
        <v>0</v>
      </c>
      <c r="AG38" s="47">
        <f t="shared" ref="AG38" si="211">AF38*8*AF37</f>
        <v>0</v>
      </c>
      <c r="AH38" s="48"/>
      <c r="AI38" s="46">
        <v>0</v>
      </c>
      <c r="AJ38" s="47">
        <f t="shared" ref="AJ38" si="212">AI38*8*AI37</f>
        <v>0</v>
      </c>
      <c r="AK38" s="48"/>
      <c r="AL38" s="46">
        <v>10</v>
      </c>
      <c r="AM38" s="47">
        <f t="shared" ref="AM38" si="213">AL38*8*AL37</f>
        <v>80</v>
      </c>
      <c r="AN38" s="48"/>
      <c r="AO38" s="46">
        <v>0</v>
      </c>
      <c r="AP38" s="47">
        <f t="shared" ref="AP38" si="214">AO38*8*AO37</f>
        <v>0</v>
      </c>
      <c r="AQ38" s="48"/>
      <c r="AR38" s="46">
        <v>0</v>
      </c>
      <c r="AS38" s="47">
        <f t="shared" ref="AS38" si="215">AR38*8*AR37</f>
        <v>0</v>
      </c>
      <c r="AT38" s="48"/>
      <c r="AU38" s="46">
        <v>1</v>
      </c>
      <c r="AV38" s="47">
        <f t="shared" ref="AV38" si="216">AU38*8*AU37</f>
        <v>8</v>
      </c>
      <c r="AW38" s="48"/>
      <c r="AX38" s="46">
        <v>10</v>
      </c>
      <c r="AY38" s="47">
        <f t="shared" ref="AY38" si="217">AX38*8*AX37</f>
        <v>80</v>
      </c>
      <c r="AZ38" s="275"/>
      <c r="BA38" s="344">
        <f>21-(Q38+T38+W38+Z38+AC38+AF38+AI38+AL38+AO38+AR38+AU38+AX38)</f>
        <v>0</v>
      </c>
    </row>
    <row r="39" spans="1:55" ht="15" thickBot="1" x14ac:dyDescent="0.35">
      <c r="A39" s="139" t="s">
        <v>67</v>
      </c>
      <c r="B39" s="155"/>
      <c r="C39" s="154"/>
      <c r="D39" s="179">
        <v>1</v>
      </c>
      <c r="E39" s="116" t="s">
        <v>3</v>
      </c>
      <c r="F39" s="190" t="s">
        <v>50</v>
      </c>
      <c r="G39" s="140"/>
      <c r="H39" s="228"/>
      <c r="I39" s="141" t="s">
        <v>10</v>
      </c>
      <c r="J39" s="142"/>
      <c r="K39" s="143"/>
      <c r="L39" s="143"/>
      <c r="M39" s="144"/>
      <c r="N39" s="144"/>
      <c r="O39" s="145"/>
      <c r="P39" s="155"/>
      <c r="Q39" s="306"/>
      <c r="R39" s="116"/>
      <c r="S39" s="86"/>
      <c r="T39" s="116"/>
      <c r="U39" s="116"/>
      <c r="V39" s="86"/>
      <c r="W39" s="116"/>
      <c r="X39" s="116"/>
      <c r="Y39" s="276"/>
      <c r="Z39" s="307"/>
      <c r="AA39" s="116"/>
      <c r="AB39" s="116"/>
      <c r="AC39" s="276"/>
      <c r="AD39" s="116"/>
      <c r="AE39" s="116"/>
      <c r="AF39" s="116"/>
      <c r="AG39" s="116"/>
      <c r="AH39" s="86"/>
      <c r="AI39" s="116"/>
      <c r="AJ39" s="116"/>
      <c r="AK39" s="86"/>
      <c r="AL39" s="116"/>
      <c r="AM39" s="116"/>
      <c r="AN39" s="276"/>
      <c r="AO39" s="307"/>
      <c r="AP39" s="116"/>
      <c r="AQ39" s="276"/>
      <c r="AR39" s="307"/>
      <c r="AS39" s="116"/>
      <c r="AT39" s="86"/>
      <c r="AU39" s="306"/>
      <c r="AV39" s="116"/>
      <c r="AW39" s="86"/>
      <c r="AX39" s="116"/>
      <c r="AY39" s="116"/>
      <c r="AZ39" s="276"/>
      <c r="BA39" s="285">
        <f t="shared" si="47"/>
        <v>0</v>
      </c>
    </row>
    <row r="40" spans="1:55" ht="15" thickBot="1" x14ac:dyDescent="0.35">
      <c r="A40" s="539" t="s">
        <v>68</v>
      </c>
      <c r="B40" s="62" t="s">
        <v>7</v>
      </c>
      <c r="C40" s="220" t="s">
        <v>58</v>
      </c>
      <c r="D40" s="170">
        <v>1</v>
      </c>
      <c r="E40" s="3" t="s">
        <v>1</v>
      </c>
      <c r="F40" s="191" t="s">
        <v>50</v>
      </c>
      <c r="G40" s="132">
        <v>43983</v>
      </c>
      <c r="H40" s="221"/>
      <c r="I40" s="138"/>
      <c r="J40" s="133">
        <v>43831</v>
      </c>
      <c r="K40" s="132">
        <v>44012</v>
      </c>
      <c r="L40" s="134" t="s">
        <v>15</v>
      </c>
      <c r="M40" s="15">
        <f>7653+5102+12755</f>
        <v>25510</v>
      </c>
      <c r="N40" s="15">
        <f>3600+2400+6000</f>
        <v>12000</v>
      </c>
      <c r="O40" s="135">
        <f>N40+M40</f>
        <v>37510</v>
      </c>
      <c r="P40" s="62" t="s">
        <v>7</v>
      </c>
      <c r="Q40" s="118">
        <v>0.3</v>
      </c>
      <c r="R40" s="212">
        <f>(Q$10*Q40)-(R$44*Q40)</f>
        <v>48</v>
      </c>
      <c r="S40" s="213">
        <f>(1/Q$43)*IF(Q$9&lt;$K$40,$O$40,$O$41)*Q40</f>
        <v>11253</v>
      </c>
      <c r="T40" s="118">
        <v>0.3</v>
      </c>
      <c r="U40" s="212">
        <f>(T$10*T40)-(U$44*T40)</f>
        <v>43.2</v>
      </c>
      <c r="V40" s="213">
        <f>(1/T$43)*IF(T$9&lt;$K$40,$O$40,$O$41)*T40</f>
        <v>11253</v>
      </c>
      <c r="W40" s="118">
        <v>0.3</v>
      </c>
      <c r="X40" s="212">
        <f>(W$10*W40)-(X$44*W40)</f>
        <v>52.8</v>
      </c>
      <c r="Y40" s="213">
        <f>(1/W$43)*IF(W$9&lt;$K$40,$O$40,$O$41)*W40</f>
        <v>11253</v>
      </c>
      <c r="Z40" s="118">
        <v>0.3</v>
      </c>
      <c r="AA40" s="212">
        <f>(Z$10*Z40)-(AA$44*Z40)</f>
        <v>52.8</v>
      </c>
      <c r="AB40" s="213">
        <f>(1/Z$43)*IF(Z$9&lt;$K$40,$O$40,$O$41)*Z40</f>
        <v>11253</v>
      </c>
      <c r="AC40" s="118">
        <v>0.05</v>
      </c>
      <c r="AD40" s="212">
        <f>(AC$10*AC40)-(AD$44*AC40)</f>
        <v>8.4</v>
      </c>
      <c r="AE40" s="213">
        <f>(1/AC$43)*IF(AC$9&lt;$K$40,$O$40,$O$41)*AC40</f>
        <v>1875.5</v>
      </c>
      <c r="AF40" s="118">
        <v>0.05</v>
      </c>
      <c r="AG40" s="212">
        <f>(AF$10*AF40)-(AG$44*AF40)</f>
        <v>8.8000000000000007</v>
      </c>
      <c r="AH40" s="213">
        <f>(1/AF$43)*IF(AF$9&lt;$K$40,$O$40,$O$41)*AF40</f>
        <v>1875.5</v>
      </c>
      <c r="AI40" s="118">
        <v>0.05</v>
      </c>
      <c r="AJ40" s="212">
        <f>(AI$10*AI40)-(AJ$44*AI40)</f>
        <v>8</v>
      </c>
      <c r="AK40" s="213">
        <f>(1/AI$43)*IF(AI$9&lt;$K$40,$O$40,$O$41)*AI40</f>
        <v>1920.5500000000002</v>
      </c>
      <c r="AL40" s="118">
        <v>0.05</v>
      </c>
      <c r="AM40" s="212">
        <f>(AL$10*AL40)-(AM$44*AL40)</f>
        <v>6.8000000000000007</v>
      </c>
      <c r="AN40" s="213">
        <f>(1/AL$43)*IF(AL$9&lt;$K$40,$O$40,$O$41)*AL40</f>
        <v>1920.5500000000002</v>
      </c>
      <c r="AO40" s="118">
        <v>0.05</v>
      </c>
      <c r="AP40" s="212">
        <f>(AO$10*AO40)-(AP$44*AO40)</f>
        <v>7.2000000000000011</v>
      </c>
      <c r="AQ40" s="213">
        <f>(1/AO$43)*IF(AO$9&lt;$K$40,$O$40,$O$41)*AO40</f>
        <v>1920.5500000000002</v>
      </c>
      <c r="AR40" s="118">
        <v>0.05</v>
      </c>
      <c r="AS40" s="212">
        <f>(AR$10*AR40)-(AS$44*AR40)</f>
        <v>8.8000000000000007</v>
      </c>
      <c r="AT40" s="213">
        <f>(1/AR$43)*IF(AR$9&lt;$K$40,$O$40,$O$41)*AR40</f>
        <v>1920.5500000000002</v>
      </c>
      <c r="AU40" s="118">
        <v>0.05</v>
      </c>
      <c r="AV40" s="212">
        <f>(AU$10*AU40)-(AV$44*AU40)</f>
        <v>8.4</v>
      </c>
      <c r="AW40" s="213">
        <f>(1/AU$43)*IF(AU$9&lt;$K$40,$O$40,$O$41)*AU40</f>
        <v>1920.5500000000002</v>
      </c>
      <c r="AX40" s="118">
        <v>0.05</v>
      </c>
      <c r="AY40" s="212">
        <f>(AX$10*AX40)-(AY$44*AX40)</f>
        <v>7.2000000000000011</v>
      </c>
      <c r="AZ40" s="213">
        <f>(1/AX$43)*IF(AX$9&lt;$K$40,$O$40,$O$41)*AX40</f>
        <v>1920.5500000000002</v>
      </c>
      <c r="BA40" s="285">
        <f t="shared" si="47"/>
        <v>60286.300000000017</v>
      </c>
    </row>
    <row r="41" spans="1:55" ht="15" thickBot="1" x14ac:dyDescent="0.35">
      <c r="A41" s="540"/>
      <c r="B41" s="63" t="s">
        <v>6</v>
      </c>
      <c r="C41" s="217" t="s">
        <v>58</v>
      </c>
      <c r="D41" s="171"/>
      <c r="E41" s="4"/>
      <c r="F41" s="193" t="s">
        <v>50</v>
      </c>
      <c r="G41" s="10">
        <v>43831</v>
      </c>
      <c r="H41" s="225">
        <v>45230</v>
      </c>
      <c r="I41" s="18"/>
      <c r="J41" s="110">
        <v>44013</v>
      </c>
      <c r="K41" s="5">
        <v>44196</v>
      </c>
      <c r="L41" s="107" t="s">
        <v>16</v>
      </c>
      <c r="M41" s="98">
        <f>13205+1321+11885</f>
        <v>26411</v>
      </c>
      <c r="N41" s="22">
        <f>6000+600+5400</f>
        <v>12000</v>
      </c>
      <c r="O41" s="23">
        <f>N41+M41</f>
        <v>38411</v>
      </c>
      <c r="P41" s="63" t="s">
        <v>6</v>
      </c>
      <c r="Q41" s="24">
        <v>0.2</v>
      </c>
      <c r="R41" s="117">
        <f>(Q$10*Q41)-(R$44*Q41)</f>
        <v>32</v>
      </c>
      <c r="S41" s="21">
        <f>(1/Q$43)*IF(Q$9&lt;$K$40,$O$40,$O$41)*Q41</f>
        <v>7502</v>
      </c>
      <c r="T41" s="24">
        <v>0.2</v>
      </c>
      <c r="U41" s="117">
        <f>(T$10*T41)-(U$44*T41)</f>
        <v>28.8</v>
      </c>
      <c r="V41" s="21">
        <v>7404</v>
      </c>
      <c r="W41" s="24">
        <v>0.2</v>
      </c>
      <c r="X41" s="117">
        <f>(W$10*W41)-(X$44*W41)</f>
        <v>35.200000000000003</v>
      </c>
      <c r="Y41" s="21">
        <f>(1/W$43)*IF(W$9&lt;$K$40,$O$40,$O$41)*W41</f>
        <v>7502</v>
      </c>
      <c r="Z41" s="24">
        <v>0.2</v>
      </c>
      <c r="AA41" s="117">
        <f>(Z$10*Z41)-(AA$44*Z41)</f>
        <v>35.200000000000003</v>
      </c>
      <c r="AB41" s="21">
        <f>(1/Z$43)*IF(Z$9&lt;$K$40,$O$40,$O$41)*Z41</f>
        <v>7502</v>
      </c>
      <c r="AC41" s="450">
        <v>0.45</v>
      </c>
      <c r="AD41" s="117">
        <f>(AC$10*AC41)-(AD$44*AC41)</f>
        <v>75.600000000000009</v>
      </c>
      <c r="AE41" s="21">
        <v>16880</v>
      </c>
      <c r="AF41" s="24">
        <v>0.45</v>
      </c>
      <c r="AG41" s="117">
        <f>(AF$10*AF41)-(AG$44*AF41)</f>
        <v>79.2</v>
      </c>
      <c r="AH41" s="21">
        <v>16880</v>
      </c>
      <c r="AI41" s="24">
        <v>0.45</v>
      </c>
      <c r="AJ41" s="117">
        <f>(AI$10*AI41)-(AJ$44*AI41)</f>
        <v>72</v>
      </c>
      <c r="AK41" s="21">
        <v>17376</v>
      </c>
      <c r="AL41" s="24">
        <v>0.45</v>
      </c>
      <c r="AM41" s="117">
        <f>(AL$10*AL41)-(AM$44*AL41)</f>
        <v>61.20000000000001</v>
      </c>
      <c r="AN41" s="21">
        <v>17120</v>
      </c>
      <c r="AO41" s="24">
        <v>0.45</v>
      </c>
      <c r="AP41" s="117">
        <f>(AO$10*AO41)-(AP$44*AO41)</f>
        <v>64.8</v>
      </c>
      <c r="AQ41" s="21">
        <v>17270</v>
      </c>
      <c r="AR41" s="24">
        <v>0.45</v>
      </c>
      <c r="AS41" s="117">
        <f>(AR$10*AR41)-(AS$44*AR41)</f>
        <v>79.2</v>
      </c>
      <c r="AT41" s="21">
        <f>(1/AR$43)*IF(AR$9&lt;$K$40,$O$40,$O$41)*AR41</f>
        <v>17284.95</v>
      </c>
      <c r="AU41" s="24">
        <v>0.45</v>
      </c>
      <c r="AV41" s="117">
        <f>(AU$10*AU41)-(AV$44*AU41)</f>
        <v>75.600000000000009</v>
      </c>
      <c r="AW41" s="21">
        <f>(1/AU$43)*IF(AU$9&lt;$K$40,$O$40,$O$41)*AU41</f>
        <v>17284.95</v>
      </c>
      <c r="AX41" s="24">
        <v>0.45</v>
      </c>
      <c r="AY41" s="117">
        <f>(AX$10*AX41)-(AY$44*AX41)</f>
        <v>64.8</v>
      </c>
      <c r="AZ41" s="21">
        <v>17452</v>
      </c>
      <c r="BA41" s="285">
        <f t="shared" si="47"/>
        <v>167457.90000000002</v>
      </c>
    </row>
    <row r="42" spans="1:55" ht="15" thickBot="1" x14ac:dyDescent="0.35">
      <c r="A42" s="540"/>
      <c r="B42" s="63" t="s">
        <v>9</v>
      </c>
      <c r="C42" s="217" t="s">
        <v>58</v>
      </c>
      <c r="D42" s="171"/>
      <c r="E42" s="4"/>
      <c r="F42" s="193" t="s">
        <v>50</v>
      </c>
      <c r="G42" s="10">
        <v>43831</v>
      </c>
      <c r="H42" s="222">
        <v>44742</v>
      </c>
      <c r="I42" s="18"/>
      <c r="J42" s="20"/>
      <c r="K42" s="22"/>
      <c r="L42" s="107"/>
      <c r="M42" s="22"/>
      <c r="N42" s="22"/>
      <c r="O42" s="23"/>
      <c r="P42" s="63" t="s">
        <v>9</v>
      </c>
      <c r="Q42" s="24">
        <v>0.5</v>
      </c>
      <c r="R42" s="117">
        <f>(Q$10*Q42)-(R$44*Q42)</f>
        <v>80</v>
      </c>
      <c r="S42" s="21">
        <f>(1/Q$43)*IF(Q$9&lt;$K$40,$O$40,$O$41)*Q42</f>
        <v>18755</v>
      </c>
      <c r="T42" s="24">
        <v>0.5</v>
      </c>
      <c r="U42" s="117">
        <f>(T$10*T42)-(U$44*T42)</f>
        <v>72</v>
      </c>
      <c r="V42" s="21">
        <f>(1/T$43)*IF(T$9&lt;$K$40,$O$40,$O$41)*T42</f>
        <v>18755</v>
      </c>
      <c r="W42" s="24">
        <v>0.5</v>
      </c>
      <c r="X42" s="117">
        <f>(W$10*W42)-(X$44*W42)</f>
        <v>88</v>
      </c>
      <c r="Y42" s="21">
        <f>(1/W$43)*IF(W$9&lt;$K$40,$O$40,$O$41)*W42</f>
        <v>18755</v>
      </c>
      <c r="Z42" s="24">
        <v>0.5</v>
      </c>
      <c r="AA42" s="117">
        <f>(Z$10*Z42)-(AA$44*Z42)</f>
        <v>88</v>
      </c>
      <c r="AB42" s="21">
        <f>(1/Z$43)*IF(Z$9&lt;$K$40,$O$40,$O$41)*Z42</f>
        <v>18755</v>
      </c>
      <c r="AC42" s="24">
        <v>0.5</v>
      </c>
      <c r="AD42" s="117">
        <f>(AC$10*AC42)-(AD$44*AC42)</f>
        <v>84</v>
      </c>
      <c r="AE42" s="21">
        <f>(1/AC$43)*IF(AC$9&lt;$K$40,$O$40,$O$41)*AC42</f>
        <v>18755</v>
      </c>
      <c r="AF42" s="24">
        <v>0.5</v>
      </c>
      <c r="AG42" s="117">
        <f>(AF$10*AF42)-(AG$44*AF42)</f>
        <v>88</v>
      </c>
      <c r="AH42" s="21">
        <f>(1/AF$43)*IF(AF$9&lt;$K$40,$O$40,$O$41)*AF42</f>
        <v>18755</v>
      </c>
      <c r="AI42" s="24">
        <v>0.5</v>
      </c>
      <c r="AJ42" s="117">
        <f>(AI$10*AI42)-(AJ$44*AI42)</f>
        <v>80</v>
      </c>
      <c r="AK42" s="21">
        <f>(1/AI$43)*IF(AI$9&lt;$K$40,$O$40,$O$41)*AI42</f>
        <v>19205.5</v>
      </c>
      <c r="AL42" s="24">
        <v>0.5</v>
      </c>
      <c r="AM42" s="117">
        <f>(AL$10*AL42)-(AM$44*AL42)</f>
        <v>68</v>
      </c>
      <c r="AN42" s="21">
        <f>(1/AL$43)*IF(AL$9&lt;$K$40,$O$40,$O$41)*AL42</f>
        <v>19205.5</v>
      </c>
      <c r="AO42" s="24">
        <v>0.5</v>
      </c>
      <c r="AP42" s="117">
        <f>(AO$10*AO42)-(AP$44*AO42)</f>
        <v>72</v>
      </c>
      <c r="AQ42" s="21">
        <f>(1/AO$43)*IF(AO$9&lt;$K$40,$O$40,$O$41)*AO42</f>
        <v>19205.5</v>
      </c>
      <c r="AR42" s="24">
        <v>0.5</v>
      </c>
      <c r="AS42" s="117">
        <f>(AR$10*AR42)-(AS$44*AR42)</f>
        <v>88</v>
      </c>
      <c r="AT42" s="21">
        <f>(1/AR$43)*IF(AR$9&lt;$K$40,$O$40,$O$41)*AR42</f>
        <v>19205.5</v>
      </c>
      <c r="AU42" s="24">
        <v>0.5</v>
      </c>
      <c r="AV42" s="117">
        <f>(AU$10*AU42)-(AV$44*AU42)</f>
        <v>84</v>
      </c>
      <c r="AW42" s="21">
        <f>(1/AU$43)*IF(AU$9&lt;$K$40,$O$40,$O$41)*AU42</f>
        <v>19205.5</v>
      </c>
      <c r="AX42" s="24">
        <v>0.5</v>
      </c>
      <c r="AY42" s="117">
        <f>(AX$10*AX42)-(AY$44*AX42)</f>
        <v>72</v>
      </c>
      <c r="AZ42" s="21">
        <f>(1/AX$43)*IF(AX$9&lt;$K$40,$O$40,$O$41)*AX42</f>
        <v>19205.5</v>
      </c>
      <c r="BA42" s="285">
        <f t="shared" si="47"/>
        <v>227763</v>
      </c>
    </row>
    <row r="43" spans="1:55" ht="15" thickBot="1" x14ac:dyDescent="0.35">
      <c r="A43" s="540"/>
      <c r="B43" s="64" t="s">
        <v>36</v>
      </c>
      <c r="C43" s="197"/>
      <c r="D43" s="172"/>
      <c r="E43" s="69"/>
      <c r="F43" s="192"/>
      <c r="G43" s="84"/>
      <c r="H43" s="223"/>
      <c r="I43" s="85"/>
      <c r="J43" s="97"/>
      <c r="K43" s="98"/>
      <c r="L43" s="112"/>
      <c r="M43" s="98"/>
      <c r="N43" s="98"/>
      <c r="O43" s="137"/>
      <c r="P43" s="63" t="s">
        <v>36</v>
      </c>
      <c r="Q43" s="277">
        <f t="shared" ref="Q43:AZ43" si="218">SUM(Q40:Q42)</f>
        <v>1</v>
      </c>
      <c r="R43" s="79">
        <f t="shared" si="218"/>
        <v>160</v>
      </c>
      <c r="S43" s="13">
        <f t="shared" si="218"/>
        <v>37510</v>
      </c>
      <c r="T43" s="277">
        <f t="shared" si="218"/>
        <v>1</v>
      </c>
      <c r="U43" s="79">
        <f t="shared" si="218"/>
        <v>144</v>
      </c>
      <c r="V43" s="13">
        <f t="shared" si="218"/>
        <v>37412</v>
      </c>
      <c r="W43" s="277">
        <f t="shared" si="218"/>
        <v>1</v>
      </c>
      <c r="X43" s="79">
        <f t="shared" si="218"/>
        <v>176</v>
      </c>
      <c r="Y43" s="13">
        <f t="shared" si="218"/>
        <v>37510</v>
      </c>
      <c r="Z43" s="277">
        <f t="shared" si="218"/>
        <v>1</v>
      </c>
      <c r="AA43" s="79">
        <f t="shared" si="218"/>
        <v>176</v>
      </c>
      <c r="AB43" s="13">
        <f t="shared" si="218"/>
        <v>37510</v>
      </c>
      <c r="AC43" s="277">
        <f t="shared" si="218"/>
        <v>1</v>
      </c>
      <c r="AD43" s="79">
        <f t="shared" si="218"/>
        <v>168</v>
      </c>
      <c r="AE43" s="13">
        <f t="shared" si="218"/>
        <v>37510.5</v>
      </c>
      <c r="AF43" s="277">
        <f t="shared" si="218"/>
        <v>1</v>
      </c>
      <c r="AG43" s="79">
        <f t="shared" si="218"/>
        <v>176</v>
      </c>
      <c r="AH43" s="13">
        <f t="shared" si="218"/>
        <v>37510.5</v>
      </c>
      <c r="AI43" s="277">
        <f t="shared" si="218"/>
        <v>1</v>
      </c>
      <c r="AJ43" s="79">
        <f t="shared" si="218"/>
        <v>160</v>
      </c>
      <c r="AK43" s="13">
        <f t="shared" si="218"/>
        <v>38502.050000000003</v>
      </c>
      <c r="AL43" s="277">
        <f t="shared" si="218"/>
        <v>1</v>
      </c>
      <c r="AM43" s="79">
        <f t="shared" si="218"/>
        <v>136</v>
      </c>
      <c r="AN43" s="13">
        <f t="shared" si="218"/>
        <v>38246.050000000003</v>
      </c>
      <c r="AO43" s="277">
        <f t="shared" si="218"/>
        <v>1</v>
      </c>
      <c r="AP43" s="79">
        <f t="shared" si="218"/>
        <v>144</v>
      </c>
      <c r="AQ43" s="13">
        <f t="shared" si="218"/>
        <v>38396.050000000003</v>
      </c>
      <c r="AR43" s="277">
        <f t="shared" si="218"/>
        <v>1</v>
      </c>
      <c r="AS43" s="79">
        <f t="shared" si="218"/>
        <v>176</v>
      </c>
      <c r="AT43" s="13">
        <f t="shared" si="218"/>
        <v>38411</v>
      </c>
      <c r="AU43" s="277">
        <f t="shared" si="218"/>
        <v>1</v>
      </c>
      <c r="AV43" s="79">
        <f t="shared" si="218"/>
        <v>168</v>
      </c>
      <c r="AW43" s="13">
        <f t="shared" si="218"/>
        <v>38411</v>
      </c>
      <c r="AX43" s="277">
        <f t="shared" si="218"/>
        <v>1</v>
      </c>
      <c r="AY43" s="79">
        <f t="shared" si="218"/>
        <v>144</v>
      </c>
      <c r="AZ43" s="13">
        <f t="shared" si="218"/>
        <v>38578.050000000003</v>
      </c>
      <c r="BA43" s="285">
        <f t="shared" si="47"/>
        <v>455507.19999999995</v>
      </c>
    </row>
    <row r="44" spans="1:55" ht="15" thickBot="1" x14ac:dyDescent="0.35">
      <c r="A44" s="541"/>
      <c r="B44" s="339" t="s">
        <v>27</v>
      </c>
      <c r="C44" s="157"/>
      <c r="D44" s="173"/>
      <c r="E44" s="6"/>
      <c r="F44" s="175"/>
      <c r="G44" s="8"/>
      <c r="H44" s="224"/>
      <c r="I44" s="16"/>
      <c r="J44" s="29"/>
      <c r="K44" s="108"/>
      <c r="L44" s="111"/>
      <c r="M44" s="108"/>
      <c r="N44" s="108"/>
      <c r="O44" s="99"/>
      <c r="P44" s="340" t="s">
        <v>27</v>
      </c>
      <c r="Q44" s="50">
        <v>3</v>
      </c>
      <c r="R44" s="51">
        <f>Q44*8*Q43</f>
        <v>24</v>
      </c>
      <c r="S44" s="52"/>
      <c r="T44" s="50">
        <v>2</v>
      </c>
      <c r="U44" s="51">
        <f>T44*8*T43</f>
        <v>16</v>
      </c>
      <c r="V44" s="52"/>
      <c r="W44" s="50">
        <v>0</v>
      </c>
      <c r="X44" s="51">
        <f>W44*8*W43</f>
        <v>0</v>
      </c>
      <c r="Y44" s="52"/>
      <c r="Z44" s="50">
        <v>0</v>
      </c>
      <c r="AA44" s="51">
        <f>Z44*8*Z43</f>
        <v>0</v>
      </c>
      <c r="AB44" s="52"/>
      <c r="AC44" s="50">
        <v>0</v>
      </c>
      <c r="AD44" s="51">
        <f t="shared" ref="AD44" si="219">AC44*8*AC43</f>
        <v>0</v>
      </c>
      <c r="AE44" s="52"/>
      <c r="AF44" s="50">
        <v>0</v>
      </c>
      <c r="AG44" s="51">
        <f t="shared" ref="AG44" si="220">AF44*8*AF43</f>
        <v>0</v>
      </c>
      <c r="AH44" s="52"/>
      <c r="AI44" s="50">
        <v>3</v>
      </c>
      <c r="AJ44" s="51">
        <f t="shared" ref="AJ44" si="221">AI44*8*AI43</f>
        <v>24</v>
      </c>
      <c r="AK44" s="52"/>
      <c r="AL44" s="50">
        <v>4</v>
      </c>
      <c r="AM44" s="51">
        <f t="shared" ref="AM44" si="222">AL44*8*AL43</f>
        <v>32</v>
      </c>
      <c r="AN44" s="52"/>
      <c r="AO44" s="50">
        <v>4</v>
      </c>
      <c r="AP44" s="51">
        <f t="shared" ref="AP44" si="223">AO44*8*AO43</f>
        <v>32</v>
      </c>
      <c r="AQ44" s="52"/>
      <c r="AR44" s="50">
        <v>0</v>
      </c>
      <c r="AS44" s="51">
        <f t="shared" ref="AS44" si="224">AR44*8*AR43</f>
        <v>0</v>
      </c>
      <c r="AT44" s="52"/>
      <c r="AU44" s="50">
        <v>0</v>
      </c>
      <c r="AV44" s="51">
        <f t="shared" ref="AV44" si="225">AU44*8*AU43</f>
        <v>0</v>
      </c>
      <c r="AW44" s="52"/>
      <c r="AX44" s="50">
        <v>5</v>
      </c>
      <c r="AY44" s="51">
        <f t="shared" ref="AY44" si="226">AX44*8*AX43</f>
        <v>40</v>
      </c>
      <c r="AZ44" s="52"/>
      <c r="BA44" s="344">
        <f>31-(Q44+T44+W44+Z44+AC44+AF44+AI44+AL44+AO44+AR44+AU44+AX44)</f>
        <v>10</v>
      </c>
    </row>
    <row r="45" spans="1:55" ht="15" thickBot="1" x14ac:dyDescent="0.35">
      <c r="J45" s="202"/>
      <c r="K45" s="202"/>
      <c r="BA45" s="302"/>
    </row>
    <row r="46" spans="1:55" ht="15" thickBot="1" x14ac:dyDescent="0.35">
      <c r="A46" s="194" t="s">
        <v>69</v>
      </c>
      <c r="B46" s="195" t="s">
        <v>6</v>
      </c>
      <c r="C46" s="198" t="s">
        <v>58</v>
      </c>
      <c r="D46" s="199"/>
      <c r="E46" s="143" t="s">
        <v>95</v>
      </c>
      <c r="F46" s="200" t="s">
        <v>4</v>
      </c>
      <c r="G46" s="201">
        <v>44044</v>
      </c>
      <c r="H46" s="229"/>
      <c r="I46" s="230" t="s">
        <v>13</v>
      </c>
      <c r="J46" s="253">
        <v>44044</v>
      </c>
      <c r="K46" s="201">
        <v>44196</v>
      </c>
      <c r="L46" s="143"/>
      <c r="M46" s="144"/>
      <c r="N46" s="144"/>
      <c r="O46" s="203">
        <v>10000</v>
      </c>
      <c r="P46" s="245" t="s">
        <v>6</v>
      </c>
      <c r="Q46" s="259"/>
      <c r="R46" s="260"/>
      <c r="S46" s="258"/>
      <c r="T46" s="259"/>
      <c r="U46" s="260"/>
      <c r="V46" s="258"/>
      <c r="W46" s="261"/>
      <c r="X46" s="260"/>
      <c r="Y46" s="258"/>
      <c r="Z46" s="261"/>
      <c r="AA46" s="260"/>
      <c r="AB46" s="258"/>
      <c r="AC46" s="261"/>
      <c r="AD46" s="260"/>
      <c r="AE46" s="258"/>
      <c r="AF46" s="261"/>
      <c r="AG46" s="260"/>
      <c r="AH46" s="258"/>
      <c r="AI46" s="261"/>
      <c r="AJ46" s="260"/>
      <c r="AK46" s="258"/>
      <c r="AL46" s="256">
        <v>500</v>
      </c>
      <c r="AM46" s="257">
        <v>20</v>
      </c>
      <c r="AN46" s="258">
        <f t="shared" ref="AN46:AN47" si="227">AL46*AM46</f>
        <v>10000</v>
      </c>
      <c r="AO46" s="256">
        <v>500</v>
      </c>
      <c r="AP46" s="257">
        <v>20</v>
      </c>
      <c r="AQ46" s="258">
        <f t="shared" ref="AQ46:AQ47" si="228">AO46*AP46</f>
        <v>10000</v>
      </c>
      <c r="AR46" s="256">
        <v>500</v>
      </c>
      <c r="AS46" s="257">
        <v>20</v>
      </c>
      <c r="AT46" s="258">
        <f t="shared" ref="AT46:AT47" si="229">AR46*AS46</f>
        <v>10000</v>
      </c>
      <c r="AU46" s="256">
        <v>500</v>
      </c>
      <c r="AV46" s="257">
        <v>20</v>
      </c>
      <c r="AW46" s="258">
        <f t="shared" ref="AW46" si="230">AU46*AV46</f>
        <v>10000</v>
      </c>
      <c r="AX46" s="256">
        <v>500</v>
      </c>
      <c r="AY46" s="257">
        <v>20</v>
      </c>
      <c r="AZ46" s="279">
        <f t="shared" ref="AZ46" si="231">AX46*AY46</f>
        <v>10000</v>
      </c>
      <c r="BA46" s="285">
        <f>SUM(S46,V46,Y46,AB46,AE46,AH46,AK46,AN46,AQ46,AT46,AW46,AZ46)</f>
        <v>50000</v>
      </c>
      <c r="BB46" s="411">
        <f>AY46+AV46+AS46+AP46+AM46+AJ46+AG46+AD46+AA46+X46+U46+R46</f>
        <v>100</v>
      </c>
      <c r="BC46" s="409"/>
    </row>
    <row r="47" spans="1:55" ht="15" thickBot="1" x14ac:dyDescent="0.35">
      <c r="A47" s="540" t="s">
        <v>70</v>
      </c>
      <c r="B47" s="166" t="s">
        <v>6</v>
      </c>
      <c r="C47" s="196" t="s">
        <v>58</v>
      </c>
      <c r="D47" s="174"/>
      <c r="E47" s="72" t="s">
        <v>96</v>
      </c>
      <c r="F47" s="186" t="s">
        <v>4</v>
      </c>
      <c r="G47" s="10">
        <v>43983</v>
      </c>
      <c r="H47" s="10">
        <v>44135</v>
      </c>
      <c r="I47" s="17" t="s">
        <v>12</v>
      </c>
      <c r="J47" s="133">
        <v>43983</v>
      </c>
      <c r="K47" s="132">
        <v>44135</v>
      </c>
      <c r="L47" s="247"/>
      <c r="M47" s="15"/>
      <c r="N47" s="15"/>
      <c r="O47" s="262">
        <v>5000</v>
      </c>
      <c r="P47" s="62" t="s">
        <v>6</v>
      </c>
      <c r="Q47" s="265"/>
      <c r="R47" s="233"/>
      <c r="S47" s="234"/>
      <c r="T47" s="264"/>
      <c r="U47" s="233"/>
      <c r="V47" s="234"/>
      <c r="W47" s="264"/>
      <c r="X47" s="233"/>
      <c r="Y47" s="234"/>
      <c r="Z47" s="264"/>
      <c r="AA47" s="233"/>
      <c r="AB47" s="234"/>
      <c r="AC47" s="264"/>
      <c r="AD47" s="233"/>
      <c r="AE47" s="234"/>
      <c r="AF47" s="235">
        <v>500</v>
      </c>
      <c r="AG47" s="239">
        <v>10</v>
      </c>
      <c r="AH47" s="234">
        <f t="shared" ref="AH47" si="232">AF47*AG47</f>
        <v>5000</v>
      </c>
      <c r="AI47" s="235">
        <v>500</v>
      </c>
      <c r="AJ47" s="239">
        <v>10</v>
      </c>
      <c r="AK47" s="234">
        <f t="shared" ref="AK47" si="233">AI47*AJ47</f>
        <v>5000</v>
      </c>
      <c r="AL47" s="235">
        <v>500</v>
      </c>
      <c r="AM47" s="239">
        <v>10</v>
      </c>
      <c r="AN47" s="234">
        <f t="shared" si="227"/>
        <v>5000</v>
      </c>
      <c r="AO47" s="235">
        <v>500</v>
      </c>
      <c r="AP47" s="239">
        <v>10</v>
      </c>
      <c r="AQ47" s="234">
        <f t="shared" si="228"/>
        <v>5000</v>
      </c>
      <c r="AR47" s="235">
        <v>500</v>
      </c>
      <c r="AS47" s="239">
        <v>10</v>
      </c>
      <c r="AT47" s="234">
        <f t="shared" si="229"/>
        <v>5000</v>
      </c>
      <c r="AU47" s="264"/>
      <c r="AV47" s="233"/>
      <c r="AW47" s="234"/>
      <c r="AX47" s="264"/>
      <c r="AY47" s="233"/>
      <c r="AZ47" s="263"/>
      <c r="BA47" s="285">
        <f t="shared" si="47"/>
        <v>25000</v>
      </c>
      <c r="BB47" s="410">
        <f t="shared" ref="BB47:BB51" si="234">AY47+AV47+AS47+AP47+AM47+AJ47+AG47+AD47+AA47+X47+U47+R47</f>
        <v>50</v>
      </c>
    </row>
    <row r="48" spans="1:55" ht="15" thickBot="1" x14ac:dyDescent="0.35">
      <c r="A48" s="541"/>
      <c r="B48" s="65" t="s">
        <v>30</v>
      </c>
      <c r="C48" s="244" t="s">
        <v>58</v>
      </c>
      <c r="D48" s="173"/>
      <c r="E48" s="7" t="s">
        <v>96</v>
      </c>
      <c r="F48" s="175" t="s">
        <v>4</v>
      </c>
      <c r="G48" s="8">
        <v>44136</v>
      </c>
      <c r="H48" s="8"/>
      <c r="I48" s="16" t="s">
        <v>12</v>
      </c>
      <c r="J48" s="231">
        <v>44136</v>
      </c>
      <c r="K48" s="8">
        <v>44196</v>
      </c>
      <c r="L48" s="7"/>
      <c r="M48" s="108"/>
      <c r="N48" s="108"/>
      <c r="O48" s="106">
        <v>4900</v>
      </c>
      <c r="P48" s="65" t="s">
        <v>30</v>
      </c>
      <c r="Q48" s="87"/>
      <c r="R48" s="78"/>
      <c r="S48" s="13"/>
      <c r="T48" s="25"/>
      <c r="U48" s="78"/>
      <c r="V48" s="13"/>
      <c r="W48" s="25"/>
      <c r="X48" s="78"/>
      <c r="Y48" s="13"/>
      <c r="Z48" s="25"/>
      <c r="AA48" s="78"/>
      <c r="AB48" s="13"/>
      <c r="AC48" s="25"/>
      <c r="AD48" s="78"/>
      <c r="AE48" s="13"/>
      <c r="AF48" s="25"/>
      <c r="AG48" s="78"/>
      <c r="AH48" s="13"/>
      <c r="AI48" s="25"/>
      <c r="AJ48" s="78"/>
      <c r="AK48" s="13"/>
      <c r="AL48" s="25"/>
      <c r="AM48" s="78"/>
      <c r="AN48" s="13"/>
      <c r="AO48" s="25"/>
      <c r="AP48" s="78"/>
      <c r="AQ48" s="13"/>
      <c r="AR48" s="25"/>
      <c r="AS48" s="78"/>
      <c r="AT48" s="13"/>
      <c r="AU48" s="237">
        <v>350</v>
      </c>
      <c r="AV48" s="240">
        <v>14</v>
      </c>
      <c r="AW48" s="13">
        <f t="shared" ref="AW48:AW50" si="235">AU48*AV48</f>
        <v>4900</v>
      </c>
      <c r="AX48" s="237">
        <v>350</v>
      </c>
      <c r="AY48" s="240">
        <v>14</v>
      </c>
      <c r="AZ48" s="79">
        <f t="shared" ref="AZ48:AZ55" si="236">AX48*AY48</f>
        <v>4900</v>
      </c>
      <c r="BA48" s="285">
        <f t="shared" si="47"/>
        <v>9800</v>
      </c>
      <c r="BB48" s="410">
        <f t="shared" si="234"/>
        <v>28</v>
      </c>
    </row>
    <row r="49" spans="1:54" ht="15" thickBot="1" x14ac:dyDescent="0.35">
      <c r="A49" s="194" t="s">
        <v>71</v>
      </c>
      <c r="B49" s="119" t="s">
        <v>6</v>
      </c>
      <c r="C49" s="241" t="s">
        <v>58</v>
      </c>
      <c r="D49" s="210"/>
      <c r="E49" s="123" t="s">
        <v>96</v>
      </c>
      <c r="F49" s="159" t="s">
        <v>4</v>
      </c>
      <c r="G49" s="49">
        <v>44136</v>
      </c>
      <c r="H49" s="242"/>
      <c r="I49" s="243" t="s">
        <v>12</v>
      </c>
      <c r="J49" s="246">
        <v>44136</v>
      </c>
      <c r="K49" s="10">
        <v>44196</v>
      </c>
      <c r="L49" s="123"/>
      <c r="M49" s="124"/>
      <c r="N49" s="124"/>
      <c r="O49" s="211">
        <v>5000</v>
      </c>
      <c r="P49" s="119" t="s">
        <v>6</v>
      </c>
      <c r="Q49" s="251"/>
      <c r="R49" s="252"/>
      <c r="S49" s="52"/>
      <c r="T49" s="251"/>
      <c r="U49" s="252"/>
      <c r="V49" s="52"/>
      <c r="W49" s="50"/>
      <c r="X49" s="252"/>
      <c r="Y49" s="52"/>
      <c r="Z49" s="50"/>
      <c r="AA49" s="252"/>
      <c r="AB49" s="52"/>
      <c r="AC49" s="50"/>
      <c r="AD49" s="252"/>
      <c r="AE49" s="52"/>
      <c r="AF49" s="50"/>
      <c r="AG49" s="252"/>
      <c r="AH49" s="52"/>
      <c r="AI49" s="50"/>
      <c r="AJ49" s="252"/>
      <c r="AK49" s="52"/>
      <c r="AL49" s="50"/>
      <c r="AM49" s="252"/>
      <c r="AN49" s="52"/>
      <c r="AO49" s="50"/>
      <c r="AP49" s="252"/>
      <c r="AQ49" s="52"/>
      <c r="AR49" s="50"/>
      <c r="AS49" s="252"/>
      <c r="AT49" s="52"/>
      <c r="AU49" s="254">
        <v>500</v>
      </c>
      <c r="AV49" s="255">
        <v>20</v>
      </c>
      <c r="AW49" s="206">
        <f t="shared" si="235"/>
        <v>10000</v>
      </c>
      <c r="AX49" s="254">
        <v>500</v>
      </c>
      <c r="AY49" s="255">
        <v>10</v>
      </c>
      <c r="AZ49" s="280">
        <f t="shared" si="236"/>
        <v>5000</v>
      </c>
      <c r="BA49" s="285">
        <f t="shared" si="47"/>
        <v>15000</v>
      </c>
      <c r="BB49" s="410">
        <f t="shared" si="234"/>
        <v>30</v>
      </c>
    </row>
    <row r="50" spans="1:54" ht="15" thickBot="1" x14ac:dyDescent="0.35">
      <c r="A50" s="194" t="s">
        <v>72</v>
      </c>
      <c r="B50" s="195" t="s">
        <v>6</v>
      </c>
      <c r="C50" s="198" t="s">
        <v>58</v>
      </c>
      <c r="D50" s="199"/>
      <c r="E50" s="143" t="s">
        <v>97</v>
      </c>
      <c r="F50" s="200" t="s">
        <v>4</v>
      </c>
      <c r="G50" s="201">
        <v>43831</v>
      </c>
      <c r="H50" s="229"/>
      <c r="I50" s="230" t="s">
        <v>12</v>
      </c>
      <c r="J50" s="146">
        <v>43831</v>
      </c>
      <c r="K50" s="5">
        <v>44196</v>
      </c>
      <c r="L50" s="143"/>
      <c r="M50" s="144"/>
      <c r="N50" s="144"/>
      <c r="O50" s="203">
        <v>10000</v>
      </c>
      <c r="P50" s="204" t="s">
        <v>6</v>
      </c>
      <c r="Q50" s="236">
        <v>500</v>
      </c>
      <c r="R50" s="238">
        <v>20</v>
      </c>
      <c r="S50" s="28">
        <f t="shared" ref="S50:S54" si="237">Q50*R50</f>
        <v>10000</v>
      </c>
      <c r="T50" s="236">
        <v>500</v>
      </c>
      <c r="U50" s="238">
        <v>20</v>
      </c>
      <c r="V50" s="28">
        <f t="shared" ref="V50" si="238">T50*U50</f>
        <v>10000</v>
      </c>
      <c r="W50" s="236">
        <v>500</v>
      </c>
      <c r="X50" s="238">
        <v>20</v>
      </c>
      <c r="Y50" s="28">
        <f t="shared" ref="Y50" si="239">W50*X50</f>
        <v>10000</v>
      </c>
      <c r="Z50" s="236">
        <v>500</v>
      </c>
      <c r="AA50" s="238">
        <v>20</v>
      </c>
      <c r="AB50" s="28">
        <f t="shared" ref="AB50" si="240">Z50*AA50</f>
        <v>10000</v>
      </c>
      <c r="AC50" s="236">
        <v>500</v>
      </c>
      <c r="AD50" s="238">
        <v>20</v>
      </c>
      <c r="AE50" s="28">
        <f t="shared" ref="AE50" si="241">AC50*AD50</f>
        <v>10000</v>
      </c>
      <c r="AF50" s="236">
        <v>500</v>
      </c>
      <c r="AG50" s="238">
        <v>20</v>
      </c>
      <c r="AH50" s="28">
        <f t="shared" ref="AH50" si="242">AF50*AG50</f>
        <v>10000</v>
      </c>
      <c r="AI50" s="236">
        <v>500</v>
      </c>
      <c r="AJ50" s="238">
        <v>20</v>
      </c>
      <c r="AK50" s="28">
        <f t="shared" ref="AK50" si="243">AI50*AJ50</f>
        <v>10000</v>
      </c>
      <c r="AL50" s="236">
        <v>500</v>
      </c>
      <c r="AM50" s="238">
        <v>20</v>
      </c>
      <c r="AN50" s="28">
        <f t="shared" ref="AN50" si="244">AL50*AM50</f>
        <v>10000</v>
      </c>
      <c r="AO50" s="236">
        <v>500</v>
      </c>
      <c r="AP50" s="238">
        <v>20</v>
      </c>
      <c r="AQ50" s="28">
        <f t="shared" ref="AQ50" si="245">AO50*AP50</f>
        <v>10000</v>
      </c>
      <c r="AR50" s="236">
        <v>500</v>
      </c>
      <c r="AS50" s="238">
        <v>20</v>
      </c>
      <c r="AT50" s="28">
        <f t="shared" ref="AT50" si="246">AR50*AS50</f>
        <v>10000</v>
      </c>
      <c r="AU50" s="248">
        <v>500</v>
      </c>
      <c r="AV50" s="249">
        <v>20</v>
      </c>
      <c r="AW50" s="250">
        <f t="shared" si="235"/>
        <v>10000</v>
      </c>
      <c r="AX50" s="254">
        <v>500</v>
      </c>
      <c r="AY50" s="255">
        <v>20</v>
      </c>
      <c r="AZ50" s="280">
        <f t="shared" si="236"/>
        <v>10000</v>
      </c>
      <c r="BA50" s="285">
        <f t="shared" si="47"/>
        <v>120000</v>
      </c>
      <c r="BB50" s="410">
        <f t="shared" si="234"/>
        <v>240</v>
      </c>
    </row>
    <row r="51" spans="1:54" ht="15" thickBot="1" x14ac:dyDescent="0.35">
      <c r="A51" s="194" t="s">
        <v>73</v>
      </c>
      <c r="B51" s="195" t="s">
        <v>6</v>
      </c>
      <c r="C51" s="198" t="s">
        <v>58</v>
      </c>
      <c r="D51" s="199"/>
      <c r="E51" s="143" t="s">
        <v>105</v>
      </c>
      <c r="F51" s="200" t="s">
        <v>4</v>
      </c>
      <c r="G51" s="201">
        <v>44166</v>
      </c>
      <c r="H51" s="229"/>
      <c r="I51" s="230" t="s">
        <v>13</v>
      </c>
      <c r="J51" s="146">
        <v>44166</v>
      </c>
      <c r="K51" s="5">
        <v>44196</v>
      </c>
      <c r="L51" s="143"/>
      <c r="M51" s="144"/>
      <c r="N51" s="144"/>
      <c r="O51" s="203">
        <v>5000</v>
      </c>
      <c r="P51" s="195" t="s">
        <v>6</v>
      </c>
      <c r="Q51" s="232"/>
      <c r="R51" s="208"/>
      <c r="S51" s="206"/>
      <c r="T51" s="232"/>
      <c r="U51" s="208"/>
      <c r="V51" s="206"/>
      <c r="W51" s="205"/>
      <c r="X51" s="208"/>
      <c r="Y51" s="206"/>
      <c r="Z51" s="205"/>
      <c r="AA51" s="208"/>
      <c r="AB51" s="206"/>
      <c r="AC51" s="205"/>
      <c r="AD51" s="208"/>
      <c r="AE51" s="206"/>
      <c r="AF51" s="205"/>
      <c r="AG51" s="208"/>
      <c r="AH51" s="206"/>
      <c r="AI51" s="205"/>
      <c r="AJ51" s="208"/>
      <c r="AK51" s="206"/>
      <c r="AL51" s="205"/>
      <c r="AM51" s="208"/>
      <c r="AN51" s="206"/>
      <c r="AO51" s="205"/>
      <c r="AP51" s="208"/>
      <c r="AQ51" s="206"/>
      <c r="AR51" s="205"/>
      <c r="AS51" s="208"/>
      <c r="AT51" s="206"/>
      <c r="AU51" s="205"/>
      <c r="AV51" s="208"/>
      <c r="AW51" s="206"/>
      <c r="AX51" s="248">
        <v>500</v>
      </c>
      <c r="AY51" s="249">
        <v>10</v>
      </c>
      <c r="AZ51" s="281">
        <f t="shared" si="236"/>
        <v>5000</v>
      </c>
      <c r="BA51" s="285">
        <f t="shared" si="47"/>
        <v>5000</v>
      </c>
      <c r="BB51" s="410">
        <f t="shared" si="234"/>
        <v>10</v>
      </c>
    </row>
    <row r="52" spans="1:54" ht="15" thickBot="1" x14ac:dyDescent="0.35">
      <c r="A52" s="194" t="s">
        <v>74</v>
      </c>
      <c r="B52" s="195" t="s">
        <v>6</v>
      </c>
      <c r="C52" s="198" t="s">
        <v>58</v>
      </c>
      <c r="D52" s="199"/>
      <c r="E52" s="143" t="s">
        <v>104</v>
      </c>
      <c r="F52" s="200" t="s">
        <v>4</v>
      </c>
      <c r="G52" s="201">
        <v>44119</v>
      </c>
      <c r="H52" s="229"/>
      <c r="I52" s="230" t="s">
        <v>61</v>
      </c>
      <c r="J52" s="146">
        <v>44119</v>
      </c>
      <c r="K52" s="5">
        <v>44196</v>
      </c>
      <c r="L52" s="143"/>
      <c r="M52" s="144"/>
      <c r="N52" s="144"/>
      <c r="O52" s="203">
        <v>4800</v>
      </c>
      <c r="P52" s="195" t="s">
        <v>6</v>
      </c>
      <c r="Q52" s="232"/>
      <c r="R52" s="208"/>
      <c r="S52" s="206"/>
      <c r="T52" s="232"/>
      <c r="U52" s="208"/>
      <c r="V52" s="206"/>
      <c r="W52" s="205"/>
      <c r="X52" s="208"/>
      <c r="Y52" s="206"/>
      <c r="Z52" s="205"/>
      <c r="AA52" s="208"/>
      <c r="AB52" s="206"/>
      <c r="AC52" s="205"/>
      <c r="AD52" s="208"/>
      <c r="AE52" s="206"/>
      <c r="AF52" s="205"/>
      <c r="AG52" s="208"/>
      <c r="AH52" s="206"/>
      <c r="AI52" s="205"/>
      <c r="AJ52" s="208"/>
      <c r="AK52" s="206"/>
      <c r="AL52" s="205"/>
      <c r="AM52" s="208"/>
      <c r="AN52" s="206"/>
      <c r="AO52" s="205"/>
      <c r="AP52" s="208"/>
      <c r="AQ52" s="206"/>
      <c r="AR52" s="236">
        <v>300</v>
      </c>
      <c r="AS52" s="238">
        <v>9</v>
      </c>
      <c r="AT52" s="28">
        <f t="shared" ref="AT52:AT55" si="247">AR52*AS52</f>
        <v>2700</v>
      </c>
      <c r="AU52" s="236">
        <v>300</v>
      </c>
      <c r="AV52" s="238">
        <v>16</v>
      </c>
      <c r="AW52" s="28">
        <f t="shared" ref="AW52:AW55" si="248">AU52*AV52</f>
        <v>4800</v>
      </c>
      <c r="AX52" s="236">
        <v>300</v>
      </c>
      <c r="AY52" s="238">
        <v>16</v>
      </c>
      <c r="AZ52" s="209">
        <f t="shared" si="236"/>
        <v>4800</v>
      </c>
      <c r="BA52" s="285">
        <f t="shared" si="47"/>
        <v>12300</v>
      </c>
      <c r="BB52" s="411">
        <f>AY52+AV52+AS52+AP52+AM52+AJ52+AG52+AD52+AA52+X52+U52+R52</f>
        <v>41</v>
      </c>
    </row>
    <row r="53" spans="1:54" ht="15" thickBot="1" x14ac:dyDescent="0.35">
      <c r="A53" s="194" t="s">
        <v>75</v>
      </c>
      <c r="B53" s="195" t="s">
        <v>6</v>
      </c>
      <c r="C53" s="198" t="s">
        <v>58</v>
      </c>
      <c r="D53" s="199"/>
      <c r="E53" s="143" t="s">
        <v>99</v>
      </c>
      <c r="F53" s="200" t="s">
        <v>5</v>
      </c>
      <c r="G53" s="201">
        <v>43831</v>
      </c>
      <c r="H53" s="229">
        <v>44196</v>
      </c>
      <c r="I53" s="230" t="s">
        <v>12</v>
      </c>
      <c r="J53" s="146">
        <v>43831</v>
      </c>
      <c r="K53" s="5">
        <v>44196</v>
      </c>
      <c r="L53" s="143"/>
      <c r="M53" s="144"/>
      <c r="N53" s="144"/>
      <c r="O53" s="203">
        <v>20000</v>
      </c>
      <c r="P53" s="204" t="s">
        <v>6</v>
      </c>
      <c r="Q53" s="271">
        <v>500</v>
      </c>
      <c r="R53" s="272">
        <v>40</v>
      </c>
      <c r="S53" s="83">
        <f t="shared" si="237"/>
        <v>20000</v>
      </c>
      <c r="T53" s="271">
        <v>500</v>
      </c>
      <c r="U53" s="272">
        <v>40</v>
      </c>
      <c r="V53" s="83">
        <f t="shared" ref="V53:V54" si="249">T53*U53</f>
        <v>20000</v>
      </c>
      <c r="W53" s="271">
        <v>500</v>
      </c>
      <c r="X53" s="272">
        <v>40</v>
      </c>
      <c r="Y53" s="83">
        <f t="shared" ref="Y53:Y56" si="250">W53*X53</f>
        <v>20000</v>
      </c>
      <c r="Z53" s="271">
        <v>500</v>
      </c>
      <c r="AA53" s="272">
        <v>40</v>
      </c>
      <c r="AB53" s="83">
        <f t="shared" ref="AB53:AB56" si="251">Z53*AA53</f>
        <v>20000</v>
      </c>
      <c r="AC53" s="271">
        <v>500</v>
      </c>
      <c r="AD53" s="272">
        <v>40</v>
      </c>
      <c r="AE53" s="83">
        <f t="shared" ref="AE53:AE60" si="252">AC53*AD53</f>
        <v>20000</v>
      </c>
      <c r="AF53" s="271">
        <v>500</v>
      </c>
      <c r="AG53" s="272">
        <v>40</v>
      </c>
      <c r="AH53" s="83">
        <f t="shared" ref="AH53:AH60" si="253">AF53*AG53</f>
        <v>20000</v>
      </c>
      <c r="AI53" s="271">
        <v>500</v>
      </c>
      <c r="AJ53" s="272">
        <v>40</v>
      </c>
      <c r="AK53" s="83">
        <f t="shared" ref="AK53:AK60" si="254">AI53*AJ53</f>
        <v>20000</v>
      </c>
      <c r="AL53" s="271">
        <v>500</v>
      </c>
      <c r="AM53" s="272">
        <v>40</v>
      </c>
      <c r="AN53" s="83">
        <f t="shared" ref="AN53:AN55" si="255">AL53*AM53</f>
        <v>20000</v>
      </c>
      <c r="AO53" s="271">
        <v>500</v>
      </c>
      <c r="AP53" s="272">
        <v>40</v>
      </c>
      <c r="AQ53" s="83">
        <f t="shared" ref="AQ53:AQ55" si="256">AO53*AP53</f>
        <v>20000</v>
      </c>
      <c r="AR53" s="271">
        <v>500</v>
      </c>
      <c r="AS53" s="272">
        <v>40</v>
      </c>
      <c r="AT53" s="83">
        <f t="shared" si="247"/>
        <v>20000</v>
      </c>
      <c r="AU53" s="271">
        <v>500</v>
      </c>
      <c r="AV53" s="272">
        <v>40</v>
      </c>
      <c r="AW53" s="83">
        <f t="shared" si="248"/>
        <v>20000</v>
      </c>
      <c r="AX53" s="271">
        <v>500</v>
      </c>
      <c r="AY53" s="272">
        <v>40</v>
      </c>
      <c r="AZ53" s="81">
        <f t="shared" si="236"/>
        <v>20000</v>
      </c>
      <c r="BA53" s="285">
        <f t="shared" si="47"/>
        <v>240000</v>
      </c>
      <c r="BB53" s="411">
        <f t="shared" ref="BB53:BB58" si="257">AY53+AV53+AS53+AP53+AM53+AJ53+AG53+AD53+AA53+X53+U53+R53</f>
        <v>480</v>
      </c>
    </row>
    <row r="54" spans="1:54" ht="15" thickBot="1" x14ac:dyDescent="0.35">
      <c r="A54" s="194" t="s">
        <v>76</v>
      </c>
      <c r="B54" s="195" t="s">
        <v>6</v>
      </c>
      <c r="C54" s="198" t="s">
        <v>58</v>
      </c>
      <c r="D54" s="199"/>
      <c r="E54" s="143" t="s">
        <v>99</v>
      </c>
      <c r="F54" s="200" t="s">
        <v>4</v>
      </c>
      <c r="G54" s="201">
        <v>43831</v>
      </c>
      <c r="H54" s="229"/>
      <c r="I54" s="230" t="s">
        <v>12</v>
      </c>
      <c r="J54" s="146">
        <v>43831</v>
      </c>
      <c r="K54" s="5">
        <v>44196</v>
      </c>
      <c r="L54" s="143"/>
      <c r="M54" s="144"/>
      <c r="N54" s="144"/>
      <c r="O54" s="203">
        <v>5000</v>
      </c>
      <c r="P54" s="204" t="s">
        <v>6</v>
      </c>
      <c r="Q54" s="254">
        <v>500</v>
      </c>
      <c r="R54" s="255">
        <v>20</v>
      </c>
      <c r="S54" s="206">
        <f t="shared" si="237"/>
        <v>10000</v>
      </c>
      <c r="T54" s="254">
        <v>500</v>
      </c>
      <c r="U54" s="255">
        <v>20</v>
      </c>
      <c r="V54" s="206">
        <f t="shared" si="249"/>
        <v>10000</v>
      </c>
      <c r="W54" s="254">
        <v>500</v>
      </c>
      <c r="X54" s="255">
        <v>20</v>
      </c>
      <c r="Y54" s="206">
        <f t="shared" si="250"/>
        <v>10000</v>
      </c>
      <c r="Z54" s="254">
        <v>500</v>
      </c>
      <c r="AA54" s="255">
        <v>20</v>
      </c>
      <c r="AB54" s="206">
        <f t="shared" si="251"/>
        <v>10000</v>
      </c>
      <c r="AC54" s="254">
        <v>500</v>
      </c>
      <c r="AD54" s="255">
        <v>20</v>
      </c>
      <c r="AE54" s="206">
        <f t="shared" si="252"/>
        <v>10000</v>
      </c>
      <c r="AF54" s="254">
        <v>500</v>
      </c>
      <c r="AG54" s="255">
        <v>20</v>
      </c>
      <c r="AH54" s="206">
        <f t="shared" si="253"/>
        <v>10000</v>
      </c>
      <c r="AI54" s="254">
        <v>500</v>
      </c>
      <c r="AJ54" s="255">
        <v>20</v>
      </c>
      <c r="AK54" s="206">
        <f t="shared" si="254"/>
        <v>10000</v>
      </c>
      <c r="AL54" s="254">
        <v>500</v>
      </c>
      <c r="AM54" s="255">
        <v>20</v>
      </c>
      <c r="AN54" s="206">
        <f t="shared" si="255"/>
        <v>10000</v>
      </c>
      <c r="AO54" s="254">
        <v>500</v>
      </c>
      <c r="AP54" s="255">
        <v>20</v>
      </c>
      <c r="AQ54" s="206">
        <f t="shared" si="256"/>
        <v>10000</v>
      </c>
      <c r="AR54" s="254">
        <v>500</v>
      </c>
      <c r="AS54" s="255">
        <v>20</v>
      </c>
      <c r="AT54" s="206">
        <f t="shared" si="247"/>
        <v>10000</v>
      </c>
      <c r="AU54" s="254">
        <v>500</v>
      </c>
      <c r="AV54" s="255">
        <v>20</v>
      </c>
      <c r="AW54" s="206">
        <f t="shared" si="248"/>
        <v>10000</v>
      </c>
      <c r="AX54" s="254">
        <v>500</v>
      </c>
      <c r="AY54" s="255">
        <v>20</v>
      </c>
      <c r="AZ54" s="280">
        <f t="shared" si="236"/>
        <v>10000</v>
      </c>
      <c r="BA54" s="285">
        <f t="shared" si="47"/>
        <v>120000</v>
      </c>
      <c r="BB54" s="411">
        <f t="shared" si="257"/>
        <v>240</v>
      </c>
    </row>
    <row r="55" spans="1:54" ht="15" thickBot="1" x14ac:dyDescent="0.35">
      <c r="A55" s="194" t="s">
        <v>77</v>
      </c>
      <c r="B55" s="195" t="s">
        <v>9</v>
      </c>
      <c r="C55" s="198" t="s">
        <v>58</v>
      </c>
      <c r="D55" s="199"/>
      <c r="E55" s="143" t="s">
        <v>101</v>
      </c>
      <c r="F55" s="200" t="s">
        <v>4</v>
      </c>
      <c r="G55" s="201">
        <v>43891</v>
      </c>
      <c r="H55" s="229"/>
      <c r="I55" s="230" t="s">
        <v>13</v>
      </c>
      <c r="J55" s="146">
        <v>43891</v>
      </c>
      <c r="K55" s="5">
        <v>44196</v>
      </c>
      <c r="L55" s="143"/>
      <c r="M55" s="144"/>
      <c r="N55" s="144"/>
      <c r="O55" s="203">
        <v>9849</v>
      </c>
      <c r="P55" s="195" t="s">
        <v>9</v>
      </c>
      <c r="Q55" s="205"/>
      <c r="R55" s="208"/>
      <c r="S55" s="206"/>
      <c r="T55" s="232"/>
      <c r="U55" s="208"/>
      <c r="V55" s="206"/>
      <c r="W55" s="254">
        <v>500</v>
      </c>
      <c r="X55" s="255">
        <v>20</v>
      </c>
      <c r="Y55" s="206">
        <f t="shared" si="250"/>
        <v>10000</v>
      </c>
      <c r="Z55" s="254">
        <v>469</v>
      </c>
      <c r="AA55" s="255">
        <v>20</v>
      </c>
      <c r="AB55" s="206">
        <f t="shared" si="251"/>
        <v>9380</v>
      </c>
      <c r="AC55" s="254">
        <v>469</v>
      </c>
      <c r="AD55" s="255">
        <v>20</v>
      </c>
      <c r="AE55" s="206">
        <f t="shared" si="252"/>
        <v>9380</v>
      </c>
      <c r="AF55" s="254">
        <v>469</v>
      </c>
      <c r="AG55" s="255">
        <v>21</v>
      </c>
      <c r="AH55" s="206">
        <f t="shared" si="253"/>
        <v>9849</v>
      </c>
      <c r="AI55" s="254">
        <v>469</v>
      </c>
      <c r="AJ55" s="255">
        <v>21</v>
      </c>
      <c r="AK55" s="206">
        <f t="shared" si="254"/>
        <v>9849</v>
      </c>
      <c r="AL55" s="254">
        <v>469</v>
      </c>
      <c r="AM55" s="255">
        <v>21</v>
      </c>
      <c r="AN55" s="206">
        <f t="shared" si="255"/>
        <v>9849</v>
      </c>
      <c r="AO55" s="254">
        <v>469</v>
      </c>
      <c r="AP55" s="255">
        <v>21</v>
      </c>
      <c r="AQ55" s="206">
        <f t="shared" si="256"/>
        <v>9849</v>
      </c>
      <c r="AR55" s="254">
        <v>469</v>
      </c>
      <c r="AS55" s="255">
        <v>21</v>
      </c>
      <c r="AT55" s="206">
        <f t="shared" si="247"/>
        <v>9849</v>
      </c>
      <c r="AU55" s="254">
        <v>469</v>
      </c>
      <c r="AV55" s="255">
        <v>21</v>
      </c>
      <c r="AW55" s="206">
        <f t="shared" si="248"/>
        <v>9849</v>
      </c>
      <c r="AX55" s="254">
        <v>469</v>
      </c>
      <c r="AY55" s="255">
        <v>21</v>
      </c>
      <c r="AZ55" s="280">
        <f t="shared" si="236"/>
        <v>9849</v>
      </c>
      <c r="BA55" s="285">
        <f t="shared" si="47"/>
        <v>97703</v>
      </c>
      <c r="BB55" s="411">
        <f t="shared" si="257"/>
        <v>207</v>
      </c>
    </row>
    <row r="56" spans="1:54" ht="15" thickBot="1" x14ac:dyDescent="0.35">
      <c r="A56" s="194" t="s">
        <v>91</v>
      </c>
      <c r="B56" s="195" t="s">
        <v>9</v>
      </c>
      <c r="C56" s="198" t="s">
        <v>58</v>
      </c>
      <c r="D56" s="199"/>
      <c r="E56" s="143" t="s">
        <v>100</v>
      </c>
      <c r="F56" s="200" t="s">
        <v>4</v>
      </c>
      <c r="G56" s="201">
        <v>43862</v>
      </c>
      <c r="H56" s="229"/>
      <c r="I56" s="230" t="s">
        <v>12</v>
      </c>
      <c r="J56" s="146">
        <v>43862</v>
      </c>
      <c r="K56" s="5">
        <v>44196</v>
      </c>
      <c r="L56" s="143"/>
      <c r="M56" s="144"/>
      <c r="N56" s="144"/>
      <c r="O56" s="203">
        <v>4690</v>
      </c>
      <c r="P56" s="195" t="s">
        <v>9</v>
      </c>
      <c r="Q56" s="251"/>
      <c r="R56" s="252"/>
      <c r="S56" s="52"/>
      <c r="T56" s="248">
        <v>500</v>
      </c>
      <c r="U56" s="249">
        <v>10</v>
      </c>
      <c r="V56" s="250">
        <f t="shared" ref="V56" si="258">T56*U56</f>
        <v>5000</v>
      </c>
      <c r="W56" s="248">
        <v>500</v>
      </c>
      <c r="X56" s="249">
        <v>10</v>
      </c>
      <c r="Y56" s="250">
        <f t="shared" si="250"/>
        <v>5000</v>
      </c>
      <c r="Z56" s="248">
        <v>469</v>
      </c>
      <c r="AA56" s="249">
        <v>10</v>
      </c>
      <c r="AB56" s="250">
        <f t="shared" si="251"/>
        <v>4690</v>
      </c>
      <c r="AC56" s="248">
        <v>469</v>
      </c>
      <c r="AD56" s="249">
        <v>10</v>
      </c>
      <c r="AE56" s="250">
        <f t="shared" si="252"/>
        <v>4690</v>
      </c>
      <c r="AF56" s="248">
        <v>469</v>
      </c>
      <c r="AG56" s="249">
        <v>10</v>
      </c>
      <c r="AH56" s="250">
        <f t="shared" si="253"/>
        <v>4690</v>
      </c>
      <c r="AI56" s="248">
        <v>469</v>
      </c>
      <c r="AJ56" s="249">
        <v>10</v>
      </c>
      <c r="AK56" s="250">
        <f t="shared" si="254"/>
        <v>4690</v>
      </c>
      <c r="AL56" s="50"/>
      <c r="AM56" s="252"/>
      <c r="AN56" s="52"/>
      <c r="AO56" s="50"/>
      <c r="AP56" s="252"/>
      <c r="AQ56" s="52"/>
      <c r="AR56" s="50"/>
      <c r="AS56" s="252"/>
      <c r="AT56" s="52"/>
      <c r="AU56" s="50"/>
      <c r="AV56" s="252"/>
      <c r="AW56" s="52"/>
      <c r="AX56" s="50"/>
      <c r="AY56" s="252"/>
      <c r="AZ56" s="278"/>
      <c r="BA56" s="285">
        <f t="shared" si="47"/>
        <v>28760</v>
      </c>
      <c r="BB56" s="411">
        <f t="shared" si="257"/>
        <v>60</v>
      </c>
    </row>
    <row r="57" spans="1:54" ht="15" thickBot="1" x14ac:dyDescent="0.35">
      <c r="A57" s="194" t="s">
        <v>78</v>
      </c>
      <c r="B57" s="195" t="s">
        <v>29</v>
      </c>
      <c r="C57" s="198" t="s">
        <v>58</v>
      </c>
      <c r="D57" s="199"/>
      <c r="E57" s="143" t="s">
        <v>102</v>
      </c>
      <c r="F57" s="200" t="s">
        <v>4</v>
      </c>
      <c r="G57" s="201">
        <v>43952</v>
      </c>
      <c r="H57" s="229"/>
      <c r="I57" s="230" t="s">
        <v>12</v>
      </c>
      <c r="J57" s="146">
        <v>43952</v>
      </c>
      <c r="K57" s="5">
        <v>44196</v>
      </c>
      <c r="L57" s="143"/>
      <c r="M57" s="144"/>
      <c r="N57" s="144"/>
      <c r="O57" s="203">
        <v>9800</v>
      </c>
      <c r="P57" s="195" t="s">
        <v>29</v>
      </c>
      <c r="Q57" s="232"/>
      <c r="R57" s="208"/>
      <c r="S57" s="206"/>
      <c r="T57" s="232"/>
      <c r="U57" s="208"/>
      <c r="V57" s="206"/>
      <c r="W57" s="205"/>
      <c r="X57" s="208"/>
      <c r="Y57" s="206"/>
      <c r="Z57" s="205"/>
      <c r="AA57" s="208"/>
      <c r="AB57" s="206"/>
      <c r="AC57" s="254">
        <v>350</v>
      </c>
      <c r="AD57" s="255">
        <v>28</v>
      </c>
      <c r="AE57" s="206">
        <f t="shared" si="252"/>
        <v>9800</v>
      </c>
      <c r="AF57" s="254">
        <v>350</v>
      </c>
      <c r="AG57" s="255">
        <v>28</v>
      </c>
      <c r="AH57" s="206">
        <f t="shared" si="253"/>
        <v>9800</v>
      </c>
      <c r="AI57" s="254">
        <v>350</v>
      </c>
      <c r="AJ57" s="255">
        <v>28</v>
      </c>
      <c r="AK57" s="206">
        <f t="shared" si="254"/>
        <v>9800</v>
      </c>
      <c r="AL57" s="254">
        <v>350</v>
      </c>
      <c r="AM57" s="255">
        <v>28</v>
      </c>
      <c r="AN57" s="206">
        <f t="shared" ref="AN57:AN60" si="259">AL57*AM57</f>
        <v>9800</v>
      </c>
      <c r="AO57" s="254">
        <v>350</v>
      </c>
      <c r="AP57" s="255">
        <v>28</v>
      </c>
      <c r="AQ57" s="206">
        <f t="shared" ref="AQ57:AQ60" si="260">AO57*AP57</f>
        <v>9800</v>
      </c>
      <c r="AR57" s="254">
        <v>350</v>
      </c>
      <c r="AS57" s="255">
        <v>28</v>
      </c>
      <c r="AT57" s="206">
        <f t="shared" ref="AT57:AT61" si="261">AR57*AS57</f>
        <v>9800</v>
      </c>
      <c r="AU57" s="254">
        <v>350</v>
      </c>
      <c r="AV57" s="255">
        <v>28</v>
      </c>
      <c r="AW57" s="206">
        <f t="shared" ref="AW57:AW70" si="262">AU57*AV57</f>
        <v>9800</v>
      </c>
      <c r="AX57" s="254">
        <v>350</v>
      </c>
      <c r="AY57" s="255">
        <v>28</v>
      </c>
      <c r="AZ57" s="280">
        <f t="shared" ref="AZ57:AZ70" si="263">AX57*AY57</f>
        <v>9800</v>
      </c>
      <c r="BA57" s="285">
        <f t="shared" si="47"/>
        <v>78400</v>
      </c>
      <c r="BB57" s="411">
        <f t="shared" si="257"/>
        <v>224</v>
      </c>
    </row>
    <row r="58" spans="1:54" ht="15" thickBot="1" x14ac:dyDescent="0.35">
      <c r="A58" s="194" t="s">
        <v>79</v>
      </c>
      <c r="B58" s="195" t="s">
        <v>29</v>
      </c>
      <c r="C58" s="198" t="s">
        <v>58</v>
      </c>
      <c r="D58" s="199"/>
      <c r="E58" s="143" t="s">
        <v>102</v>
      </c>
      <c r="F58" s="200" t="s">
        <v>4</v>
      </c>
      <c r="G58" s="201">
        <v>43952</v>
      </c>
      <c r="H58" s="229"/>
      <c r="I58" s="230" t="s">
        <v>12</v>
      </c>
      <c r="J58" s="146">
        <v>43952</v>
      </c>
      <c r="K58" s="5">
        <v>44196</v>
      </c>
      <c r="L58" s="143"/>
      <c r="M58" s="144"/>
      <c r="N58" s="144"/>
      <c r="O58" s="203">
        <v>9800</v>
      </c>
      <c r="P58" s="195" t="s">
        <v>29</v>
      </c>
      <c r="Q58" s="232"/>
      <c r="R58" s="208"/>
      <c r="S58" s="206"/>
      <c r="T58" s="232"/>
      <c r="U58" s="208"/>
      <c r="V58" s="206"/>
      <c r="W58" s="205"/>
      <c r="X58" s="208"/>
      <c r="Y58" s="206"/>
      <c r="Z58" s="205"/>
      <c r="AA58" s="208"/>
      <c r="AB58" s="206"/>
      <c r="AC58" s="254">
        <v>350</v>
      </c>
      <c r="AD58" s="255">
        <v>28</v>
      </c>
      <c r="AE58" s="206">
        <f t="shared" si="252"/>
        <v>9800</v>
      </c>
      <c r="AF58" s="254">
        <v>350</v>
      </c>
      <c r="AG58" s="255">
        <v>28</v>
      </c>
      <c r="AH58" s="206">
        <f t="shared" si="253"/>
        <v>9800</v>
      </c>
      <c r="AI58" s="254">
        <v>350</v>
      </c>
      <c r="AJ58" s="255">
        <v>28</v>
      </c>
      <c r="AK58" s="206">
        <f t="shared" si="254"/>
        <v>9800</v>
      </c>
      <c r="AL58" s="254">
        <v>350</v>
      </c>
      <c r="AM58" s="255">
        <v>28</v>
      </c>
      <c r="AN58" s="206">
        <f t="shared" si="259"/>
        <v>9800</v>
      </c>
      <c r="AO58" s="254">
        <v>350</v>
      </c>
      <c r="AP58" s="255">
        <v>28</v>
      </c>
      <c r="AQ58" s="206">
        <f t="shared" si="260"/>
        <v>9800</v>
      </c>
      <c r="AR58" s="254">
        <v>350</v>
      </c>
      <c r="AS58" s="255">
        <v>28</v>
      </c>
      <c r="AT58" s="206">
        <f t="shared" si="261"/>
        <v>9800</v>
      </c>
      <c r="AU58" s="254">
        <v>350</v>
      </c>
      <c r="AV58" s="255">
        <v>28</v>
      </c>
      <c r="AW58" s="206">
        <f t="shared" si="262"/>
        <v>9800</v>
      </c>
      <c r="AX58" s="254">
        <v>350</v>
      </c>
      <c r="AY58" s="255">
        <v>28</v>
      </c>
      <c r="AZ58" s="280">
        <f t="shared" si="263"/>
        <v>9800</v>
      </c>
      <c r="BA58" s="285">
        <f t="shared" si="47"/>
        <v>78400</v>
      </c>
      <c r="BB58" s="411">
        <f t="shared" si="257"/>
        <v>224</v>
      </c>
    </row>
    <row r="59" spans="1:54" ht="15" thickBot="1" x14ac:dyDescent="0.35">
      <c r="A59" s="194" t="s">
        <v>80</v>
      </c>
      <c r="B59" s="195" t="s">
        <v>29</v>
      </c>
      <c r="C59" s="198" t="s">
        <v>58</v>
      </c>
      <c r="D59" s="199"/>
      <c r="E59" s="143" t="s">
        <v>103</v>
      </c>
      <c r="F59" s="200" t="s">
        <v>4</v>
      </c>
      <c r="G59" s="201">
        <v>43952</v>
      </c>
      <c r="H59" s="229"/>
      <c r="I59" s="230" t="s">
        <v>12</v>
      </c>
      <c r="J59" s="146">
        <v>43952</v>
      </c>
      <c r="K59" s="5">
        <v>44196</v>
      </c>
      <c r="L59" s="143"/>
      <c r="M59" s="144"/>
      <c r="N59" s="144"/>
      <c r="O59" s="203">
        <v>9800</v>
      </c>
      <c r="P59" s="195" t="s">
        <v>29</v>
      </c>
      <c r="Q59" s="232"/>
      <c r="R59" s="208"/>
      <c r="S59" s="206"/>
      <c r="T59" s="232"/>
      <c r="U59" s="208"/>
      <c r="V59" s="206"/>
      <c r="W59" s="205"/>
      <c r="X59" s="208"/>
      <c r="Y59" s="206"/>
      <c r="Z59" s="205"/>
      <c r="AA59" s="208"/>
      <c r="AB59" s="206"/>
      <c r="AC59" s="254">
        <v>350</v>
      </c>
      <c r="AD59" s="255">
        <v>28</v>
      </c>
      <c r="AE59" s="206">
        <f t="shared" si="252"/>
        <v>9800</v>
      </c>
      <c r="AF59" s="254">
        <v>350</v>
      </c>
      <c r="AG59" s="255">
        <v>28</v>
      </c>
      <c r="AH59" s="206">
        <f t="shared" si="253"/>
        <v>9800</v>
      </c>
      <c r="AI59" s="254">
        <v>350</v>
      </c>
      <c r="AJ59" s="255">
        <v>28</v>
      </c>
      <c r="AK59" s="206">
        <f t="shared" si="254"/>
        <v>9800</v>
      </c>
      <c r="AL59" s="254">
        <v>350</v>
      </c>
      <c r="AM59" s="255">
        <v>28</v>
      </c>
      <c r="AN59" s="206">
        <f t="shared" si="259"/>
        <v>9800</v>
      </c>
      <c r="AO59" s="254">
        <v>350</v>
      </c>
      <c r="AP59" s="255">
        <v>28</v>
      </c>
      <c r="AQ59" s="206">
        <f t="shared" si="260"/>
        <v>9800</v>
      </c>
      <c r="AR59" s="254">
        <v>350</v>
      </c>
      <c r="AS59" s="255">
        <v>28</v>
      </c>
      <c r="AT59" s="206">
        <f t="shared" si="261"/>
        <v>9800</v>
      </c>
      <c r="AU59" s="254">
        <v>350</v>
      </c>
      <c r="AV59" s="255">
        <v>28</v>
      </c>
      <c r="AW59" s="206">
        <f t="shared" si="262"/>
        <v>9800</v>
      </c>
      <c r="AX59" s="254">
        <v>350</v>
      </c>
      <c r="AY59" s="255">
        <v>28</v>
      </c>
      <c r="AZ59" s="280">
        <f t="shared" si="263"/>
        <v>9800</v>
      </c>
      <c r="BA59" s="285">
        <f t="shared" si="47"/>
        <v>78400</v>
      </c>
      <c r="BB59" s="410">
        <f>AY59+AV59+AS59+AP59+AM59+AJ59+AG59+AD59+AA59+X59+U59+R59</f>
        <v>224</v>
      </c>
    </row>
    <row r="60" spans="1:54" ht="15" thickBot="1" x14ac:dyDescent="0.35">
      <c r="A60" s="194" t="s">
        <v>108</v>
      </c>
      <c r="B60" s="195" t="s">
        <v>29</v>
      </c>
      <c r="C60" s="198" t="s">
        <v>58</v>
      </c>
      <c r="D60" s="199"/>
      <c r="E60" s="143" t="s">
        <v>97</v>
      </c>
      <c r="F60" s="200" t="s">
        <v>4</v>
      </c>
      <c r="G60" s="201">
        <v>43952</v>
      </c>
      <c r="H60" s="229"/>
      <c r="I60" s="230" t="s">
        <v>12</v>
      </c>
      <c r="J60" s="146">
        <v>43952</v>
      </c>
      <c r="K60" s="5">
        <v>44196</v>
      </c>
      <c r="L60" s="143"/>
      <c r="M60" s="144"/>
      <c r="N60" s="144"/>
      <c r="O60" s="203">
        <v>9800</v>
      </c>
      <c r="P60" s="195" t="s">
        <v>29</v>
      </c>
      <c r="Q60" s="232"/>
      <c r="R60" s="208"/>
      <c r="S60" s="206"/>
      <c r="T60" s="232"/>
      <c r="U60" s="208"/>
      <c r="V60" s="206"/>
      <c r="W60" s="205"/>
      <c r="X60" s="208"/>
      <c r="Y60" s="206"/>
      <c r="Z60" s="205"/>
      <c r="AA60" s="208"/>
      <c r="AB60" s="206"/>
      <c r="AC60" s="254">
        <v>350</v>
      </c>
      <c r="AD60" s="255">
        <v>28</v>
      </c>
      <c r="AE60" s="206">
        <f t="shared" si="252"/>
        <v>9800</v>
      </c>
      <c r="AF60" s="254">
        <v>350</v>
      </c>
      <c r="AG60" s="255">
        <v>28</v>
      </c>
      <c r="AH60" s="206">
        <f t="shared" si="253"/>
        <v>9800</v>
      </c>
      <c r="AI60" s="254">
        <v>350</v>
      </c>
      <c r="AJ60" s="255">
        <v>28</v>
      </c>
      <c r="AK60" s="206">
        <f t="shared" si="254"/>
        <v>9800</v>
      </c>
      <c r="AL60" s="254">
        <v>350</v>
      </c>
      <c r="AM60" s="255">
        <v>28</v>
      </c>
      <c r="AN60" s="206">
        <f t="shared" si="259"/>
        <v>9800</v>
      </c>
      <c r="AO60" s="254">
        <v>350</v>
      </c>
      <c r="AP60" s="255">
        <v>28</v>
      </c>
      <c r="AQ60" s="206">
        <f t="shared" si="260"/>
        <v>9800</v>
      </c>
      <c r="AR60" s="254">
        <v>350</v>
      </c>
      <c r="AS60" s="255">
        <v>28</v>
      </c>
      <c r="AT60" s="206">
        <f t="shared" si="261"/>
        <v>9800</v>
      </c>
      <c r="AU60" s="254">
        <v>350</v>
      </c>
      <c r="AV60" s="255">
        <v>28</v>
      </c>
      <c r="AW60" s="206">
        <f t="shared" si="262"/>
        <v>9800</v>
      </c>
      <c r="AX60" s="254">
        <v>350</v>
      </c>
      <c r="AY60" s="255">
        <v>28</v>
      </c>
      <c r="AZ60" s="280">
        <f t="shared" si="263"/>
        <v>9800</v>
      </c>
      <c r="BA60" s="285">
        <f t="shared" si="47"/>
        <v>78400</v>
      </c>
      <c r="BB60" s="411">
        <f>AY60+AV60+AS60+AP60+AM60+AJ60+AG60+AD60+AA60+X60+U60+R60</f>
        <v>224</v>
      </c>
    </row>
    <row r="61" spans="1:54" ht="15" thickBot="1" x14ac:dyDescent="0.35">
      <c r="A61" s="194" t="s">
        <v>81</v>
      </c>
      <c r="B61" s="195" t="s">
        <v>29</v>
      </c>
      <c r="C61" s="198" t="s">
        <v>58</v>
      </c>
      <c r="D61" s="199"/>
      <c r="E61" s="143" t="s">
        <v>104</v>
      </c>
      <c r="F61" s="200" t="s">
        <v>4</v>
      </c>
      <c r="G61" s="201">
        <v>44119</v>
      </c>
      <c r="H61" s="229">
        <v>44196</v>
      </c>
      <c r="I61" s="230" t="s">
        <v>13</v>
      </c>
      <c r="J61" s="146">
        <v>44119</v>
      </c>
      <c r="K61" s="5">
        <v>44196</v>
      </c>
      <c r="L61" s="143"/>
      <c r="M61" s="144"/>
      <c r="N61" s="144"/>
      <c r="O61" s="203">
        <v>4800</v>
      </c>
      <c r="P61" s="195" t="s">
        <v>29</v>
      </c>
      <c r="Q61" s="232"/>
      <c r="R61" s="208"/>
      <c r="S61" s="206"/>
      <c r="T61" s="232"/>
      <c r="U61" s="208"/>
      <c r="V61" s="206"/>
      <c r="W61" s="205"/>
      <c r="X61" s="208"/>
      <c r="Y61" s="206"/>
      <c r="Z61" s="205"/>
      <c r="AA61" s="208"/>
      <c r="AB61" s="206"/>
      <c r="AC61" s="205"/>
      <c r="AD61" s="208"/>
      <c r="AE61" s="206"/>
      <c r="AF61" s="205"/>
      <c r="AG61" s="208"/>
      <c r="AH61" s="206"/>
      <c r="AI61" s="205"/>
      <c r="AJ61" s="208"/>
      <c r="AK61" s="206"/>
      <c r="AL61" s="205"/>
      <c r="AM61" s="208"/>
      <c r="AN61" s="206"/>
      <c r="AO61" s="205"/>
      <c r="AP61" s="208"/>
      <c r="AQ61" s="206"/>
      <c r="AR61" s="254">
        <v>200</v>
      </c>
      <c r="AS61" s="255">
        <v>8</v>
      </c>
      <c r="AT61" s="206">
        <f t="shared" si="261"/>
        <v>1600</v>
      </c>
      <c r="AU61" s="254">
        <v>200</v>
      </c>
      <c r="AV61" s="255">
        <v>24</v>
      </c>
      <c r="AW61" s="206">
        <f t="shared" si="262"/>
        <v>4800</v>
      </c>
      <c r="AX61" s="254">
        <v>200</v>
      </c>
      <c r="AY61" s="255">
        <v>24</v>
      </c>
      <c r="AZ61" s="280">
        <f t="shared" si="263"/>
        <v>4800</v>
      </c>
      <c r="BA61" s="285">
        <f t="shared" si="47"/>
        <v>11200</v>
      </c>
      <c r="BB61" s="410">
        <f>AY61+AV61+AS61+AP61+AM61+AJ61+AG61+AD61+AA61+X61+U61+R61</f>
        <v>56</v>
      </c>
    </row>
    <row r="62" spans="1:54" ht="15" thickBot="1" x14ac:dyDescent="0.35">
      <c r="A62" s="194" t="s">
        <v>82</v>
      </c>
      <c r="B62" s="195" t="s">
        <v>30</v>
      </c>
      <c r="C62" s="198" t="s">
        <v>58</v>
      </c>
      <c r="D62" s="199"/>
      <c r="E62" s="143" t="s">
        <v>97</v>
      </c>
      <c r="F62" s="200" t="s">
        <v>4</v>
      </c>
      <c r="G62" s="201">
        <v>44136</v>
      </c>
      <c r="H62" s="229"/>
      <c r="I62" s="230" t="s">
        <v>12</v>
      </c>
      <c r="J62" s="146">
        <v>44136</v>
      </c>
      <c r="K62" s="5">
        <v>44196</v>
      </c>
      <c r="L62" s="143"/>
      <c r="M62" s="144"/>
      <c r="N62" s="144"/>
      <c r="O62" s="203">
        <v>9800</v>
      </c>
      <c r="P62" s="195" t="s">
        <v>30</v>
      </c>
      <c r="Q62" s="232"/>
      <c r="R62" s="208"/>
      <c r="S62" s="206"/>
      <c r="T62" s="232"/>
      <c r="U62" s="208"/>
      <c r="V62" s="206"/>
      <c r="W62" s="205"/>
      <c r="X62" s="208"/>
      <c r="Y62" s="206"/>
      <c r="Z62" s="205"/>
      <c r="AA62" s="208"/>
      <c r="AB62" s="206"/>
      <c r="AC62" s="205"/>
      <c r="AD62" s="208"/>
      <c r="AE62" s="206"/>
      <c r="AF62" s="205"/>
      <c r="AG62" s="208"/>
      <c r="AH62" s="206"/>
      <c r="AI62" s="205"/>
      <c r="AJ62" s="208"/>
      <c r="AK62" s="206"/>
      <c r="AL62" s="205"/>
      <c r="AM62" s="208"/>
      <c r="AN62" s="206"/>
      <c r="AO62" s="205"/>
      <c r="AP62" s="208"/>
      <c r="AQ62" s="206"/>
      <c r="AR62" s="205"/>
      <c r="AS62" s="208"/>
      <c r="AT62" s="206"/>
      <c r="AU62" s="254">
        <v>350</v>
      </c>
      <c r="AV62" s="255">
        <v>28</v>
      </c>
      <c r="AW62" s="206">
        <f t="shared" si="262"/>
        <v>9800</v>
      </c>
      <c r="AX62" s="254">
        <v>350</v>
      </c>
      <c r="AY62" s="255">
        <v>28</v>
      </c>
      <c r="AZ62" s="280">
        <f t="shared" si="263"/>
        <v>9800</v>
      </c>
      <c r="BA62" s="285">
        <f t="shared" si="47"/>
        <v>19600</v>
      </c>
      <c r="BB62" s="411">
        <f>AY62+AV62+AS62+AP62+AM62+AJ62+AG62+AD62+AA62+X62+U62+R62</f>
        <v>56</v>
      </c>
    </row>
    <row r="63" spans="1:54" ht="15" thickBot="1" x14ac:dyDescent="0.35">
      <c r="A63" s="194" t="s">
        <v>83</v>
      </c>
      <c r="B63" s="195" t="s">
        <v>30</v>
      </c>
      <c r="C63" s="198" t="s">
        <v>58</v>
      </c>
      <c r="D63" s="199"/>
      <c r="E63" s="143" t="s">
        <v>97</v>
      </c>
      <c r="F63" s="200" t="s">
        <v>4</v>
      </c>
      <c r="G63" s="201">
        <v>44136</v>
      </c>
      <c r="H63" s="229"/>
      <c r="I63" s="230" t="s">
        <v>12</v>
      </c>
      <c r="J63" s="146">
        <v>44136</v>
      </c>
      <c r="K63" s="5">
        <v>44196</v>
      </c>
      <c r="L63" s="143"/>
      <c r="M63" s="144"/>
      <c r="N63" s="144"/>
      <c r="O63" s="203">
        <v>4900</v>
      </c>
      <c r="P63" s="195" t="s">
        <v>30</v>
      </c>
      <c r="Q63" s="232"/>
      <c r="R63" s="208"/>
      <c r="S63" s="206"/>
      <c r="T63" s="232"/>
      <c r="U63" s="208"/>
      <c r="V63" s="206"/>
      <c r="W63" s="205"/>
      <c r="X63" s="208"/>
      <c r="Y63" s="206"/>
      <c r="Z63" s="205"/>
      <c r="AA63" s="208"/>
      <c r="AB63" s="206"/>
      <c r="AC63" s="205"/>
      <c r="AD63" s="208"/>
      <c r="AE63" s="206"/>
      <c r="AF63" s="205"/>
      <c r="AG63" s="208"/>
      <c r="AH63" s="206"/>
      <c r="AI63" s="205"/>
      <c r="AJ63" s="208"/>
      <c r="AK63" s="206"/>
      <c r="AL63" s="205"/>
      <c r="AM63" s="208"/>
      <c r="AN63" s="206"/>
      <c r="AO63" s="205"/>
      <c r="AP63" s="208"/>
      <c r="AQ63" s="206"/>
      <c r="AR63" s="205"/>
      <c r="AS63" s="208"/>
      <c r="AT63" s="206"/>
      <c r="AU63" s="254">
        <v>350</v>
      </c>
      <c r="AV63" s="255">
        <v>14</v>
      </c>
      <c r="AW63" s="206">
        <f t="shared" si="262"/>
        <v>4900</v>
      </c>
      <c r="AX63" s="254">
        <v>350</v>
      </c>
      <c r="AY63" s="255">
        <v>14</v>
      </c>
      <c r="AZ63" s="280">
        <f t="shared" si="263"/>
        <v>4900</v>
      </c>
      <c r="BA63" s="285">
        <f t="shared" si="47"/>
        <v>9800</v>
      </c>
      <c r="BB63" s="410">
        <f t="shared" ref="BB63:BB66" si="264">AY63+AV63+AS63+AP63+AM63+AJ63+AG63+AD63+AA63+X63+U63+R63</f>
        <v>28</v>
      </c>
    </row>
    <row r="64" spans="1:54" ht="15" thickBot="1" x14ac:dyDescent="0.35">
      <c r="A64" s="194" t="s">
        <v>84</v>
      </c>
      <c r="B64" s="195" t="s">
        <v>30</v>
      </c>
      <c r="C64" s="198" t="s">
        <v>58</v>
      </c>
      <c r="D64" s="199"/>
      <c r="E64" s="143" t="s">
        <v>98</v>
      </c>
      <c r="F64" s="200" t="s">
        <v>4</v>
      </c>
      <c r="G64" s="201">
        <v>44136</v>
      </c>
      <c r="H64" s="229"/>
      <c r="I64" s="230" t="s">
        <v>12</v>
      </c>
      <c r="J64" s="146">
        <v>44136</v>
      </c>
      <c r="K64" s="5">
        <v>44196</v>
      </c>
      <c r="L64" s="143"/>
      <c r="M64" s="144"/>
      <c r="N64" s="144"/>
      <c r="O64" s="203">
        <v>9800</v>
      </c>
      <c r="P64" s="195" t="s">
        <v>30</v>
      </c>
      <c r="Q64" s="232"/>
      <c r="R64" s="208"/>
      <c r="S64" s="206"/>
      <c r="T64" s="232"/>
      <c r="U64" s="208"/>
      <c r="V64" s="206"/>
      <c r="W64" s="205"/>
      <c r="X64" s="208"/>
      <c r="Y64" s="206"/>
      <c r="Z64" s="205"/>
      <c r="AA64" s="208"/>
      <c r="AB64" s="206"/>
      <c r="AC64" s="205"/>
      <c r="AD64" s="208"/>
      <c r="AE64" s="206"/>
      <c r="AF64" s="205"/>
      <c r="AG64" s="208"/>
      <c r="AH64" s="206"/>
      <c r="AI64" s="205"/>
      <c r="AJ64" s="208"/>
      <c r="AK64" s="206"/>
      <c r="AL64" s="205"/>
      <c r="AM64" s="208"/>
      <c r="AN64" s="206"/>
      <c r="AO64" s="205"/>
      <c r="AP64" s="208"/>
      <c r="AQ64" s="206"/>
      <c r="AR64" s="205"/>
      <c r="AS64" s="208"/>
      <c r="AT64" s="206"/>
      <c r="AU64" s="254">
        <v>350</v>
      </c>
      <c r="AV64" s="255">
        <v>28</v>
      </c>
      <c r="AW64" s="206">
        <f t="shared" si="262"/>
        <v>9800</v>
      </c>
      <c r="AX64" s="254">
        <v>350</v>
      </c>
      <c r="AY64" s="255">
        <v>28</v>
      </c>
      <c r="AZ64" s="280">
        <f t="shared" si="263"/>
        <v>9800</v>
      </c>
      <c r="BA64" s="285">
        <f t="shared" si="47"/>
        <v>19600</v>
      </c>
      <c r="BB64" s="410">
        <f t="shared" si="264"/>
        <v>56</v>
      </c>
    </row>
    <row r="65" spans="1:54" ht="15" thickBot="1" x14ac:dyDescent="0.35">
      <c r="A65" s="194" t="s">
        <v>85</v>
      </c>
      <c r="B65" s="195" t="s">
        <v>30</v>
      </c>
      <c r="C65" s="198" t="s">
        <v>58</v>
      </c>
      <c r="D65" s="199"/>
      <c r="E65" s="143" t="s">
        <v>96</v>
      </c>
      <c r="F65" s="200" t="s">
        <v>4</v>
      </c>
      <c r="G65" s="201">
        <v>44136</v>
      </c>
      <c r="H65" s="229"/>
      <c r="I65" s="230" t="s">
        <v>13</v>
      </c>
      <c r="J65" s="146">
        <v>44136</v>
      </c>
      <c r="K65" s="5">
        <v>44196</v>
      </c>
      <c r="L65" s="143"/>
      <c r="M65" s="144"/>
      <c r="N65" s="144"/>
      <c r="O65" s="203">
        <v>4900</v>
      </c>
      <c r="P65" s="195" t="s">
        <v>30</v>
      </c>
      <c r="Q65" s="232"/>
      <c r="R65" s="208"/>
      <c r="S65" s="206"/>
      <c r="T65" s="232"/>
      <c r="U65" s="208"/>
      <c r="V65" s="206"/>
      <c r="W65" s="205"/>
      <c r="X65" s="208"/>
      <c r="Y65" s="206"/>
      <c r="Z65" s="205"/>
      <c r="AA65" s="208"/>
      <c r="AB65" s="206"/>
      <c r="AC65" s="205"/>
      <c r="AD65" s="208"/>
      <c r="AE65" s="206"/>
      <c r="AF65" s="205"/>
      <c r="AG65" s="208"/>
      <c r="AH65" s="206"/>
      <c r="AI65" s="205"/>
      <c r="AJ65" s="208"/>
      <c r="AK65" s="206"/>
      <c r="AL65" s="205"/>
      <c r="AM65" s="208"/>
      <c r="AN65" s="206"/>
      <c r="AO65" s="205"/>
      <c r="AP65" s="208"/>
      <c r="AQ65" s="206"/>
      <c r="AR65" s="205"/>
      <c r="AS65" s="208"/>
      <c r="AT65" s="206"/>
      <c r="AU65" s="254">
        <v>350</v>
      </c>
      <c r="AV65" s="255">
        <v>14</v>
      </c>
      <c r="AW65" s="206">
        <f t="shared" si="262"/>
        <v>4900</v>
      </c>
      <c r="AX65" s="254">
        <v>350</v>
      </c>
      <c r="AY65" s="255">
        <v>14</v>
      </c>
      <c r="AZ65" s="280">
        <f t="shared" si="263"/>
        <v>4900</v>
      </c>
      <c r="BA65" s="285">
        <f t="shared" si="47"/>
        <v>9800</v>
      </c>
      <c r="BB65" s="410">
        <f t="shared" si="264"/>
        <v>28</v>
      </c>
    </row>
    <row r="66" spans="1:54" ht="15" thickBot="1" x14ac:dyDescent="0.35">
      <c r="A66" s="194" t="s">
        <v>86</v>
      </c>
      <c r="B66" s="195" t="s">
        <v>30</v>
      </c>
      <c r="C66" s="198" t="s">
        <v>58</v>
      </c>
      <c r="D66" s="199"/>
      <c r="E66" s="143" t="s">
        <v>96</v>
      </c>
      <c r="F66" s="200" t="s">
        <v>4</v>
      </c>
      <c r="G66" s="201">
        <v>44136</v>
      </c>
      <c r="H66" s="229"/>
      <c r="I66" s="230" t="s">
        <v>12</v>
      </c>
      <c r="J66" s="146">
        <v>44136</v>
      </c>
      <c r="K66" s="5">
        <v>44196</v>
      </c>
      <c r="L66" s="143"/>
      <c r="M66" s="144"/>
      <c r="N66" s="144"/>
      <c r="O66" s="203">
        <v>4900</v>
      </c>
      <c r="P66" s="195" t="s">
        <v>30</v>
      </c>
      <c r="Q66" s="232"/>
      <c r="R66" s="208"/>
      <c r="S66" s="206"/>
      <c r="T66" s="232"/>
      <c r="U66" s="208"/>
      <c r="V66" s="206"/>
      <c r="W66" s="205"/>
      <c r="X66" s="208"/>
      <c r="Y66" s="206"/>
      <c r="Z66" s="205"/>
      <c r="AA66" s="208"/>
      <c r="AB66" s="206"/>
      <c r="AC66" s="205"/>
      <c r="AD66" s="208"/>
      <c r="AE66" s="206"/>
      <c r="AF66" s="205"/>
      <c r="AG66" s="208"/>
      <c r="AH66" s="206"/>
      <c r="AI66" s="205"/>
      <c r="AJ66" s="208"/>
      <c r="AK66" s="206"/>
      <c r="AL66" s="205"/>
      <c r="AM66" s="208"/>
      <c r="AN66" s="206"/>
      <c r="AO66" s="205"/>
      <c r="AP66" s="208"/>
      <c r="AQ66" s="206"/>
      <c r="AR66" s="205"/>
      <c r="AS66" s="208"/>
      <c r="AT66" s="206"/>
      <c r="AU66" s="266">
        <v>350</v>
      </c>
      <c r="AV66" s="267">
        <v>14</v>
      </c>
      <c r="AW66" s="48">
        <f t="shared" si="262"/>
        <v>4900</v>
      </c>
      <c r="AX66" s="266">
        <v>350</v>
      </c>
      <c r="AY66" s="267">
        <v>14</v>
      </c>
      <c r="AZ66" s="275">
        <f t="shared" si="263"/>
        <v>4900</v>
      </c>
      <c r="BA66" s="285">
        <f t="shared" si="47"/>
        <v>9800</v>
      </c>
      <c r="BB66" s="410">
        <f t="shared" si="264"/>
        <v>28</v>
      </c>
    </row>
    <row r="67" spans="1:54" ht="15" thickBot="1" x14ac:dyDescent="0.35">
      <c r="A67" s="194" t="s">
        <v>87</v>
      </c>
      <c r="B67" s="195" t="s">
        <v>30</v>
      </c>
      <c r="C67" s="198" t="s">
        <v>58</v>
      </c>
      <c r="D67" s="199"/>
      <c r="E67" s="143" t="s">
        <v>106</v>
      </c>
      <c r="F67" s="200" t="s">
        <v>4</v>
      </c>
      <c r="G67" s="201">
        <v>44136</v>
      </c>
      <c r="H67" s="229"/>
      <c r="I67" s="230" t="s">
        <v>13</v>
      </c>
      <c r="J67" s="146">
        <v>44136</v>
      </c>
      <c r="K67" s="5">
        <v>44196</v>
      </c>
      <c r="L67" s="143"/>
      <c r="M67" s="144"/>
      <c r="N67" s="144"/>
      <c r="O67" s="203">
        <v>4900</v>
      </c>
      <c r="P67" s="195" t="s">
        <v>30</v>
      </c>
      <c r="Q67" s="232"/>
      <c r="R67" s="208"/>
      <c r="S67" s="206"/>
      <c r="T67" s="232"/>
      <c r="U67" s="208"/>
      <c r="V67" s="206"/>
      <c r="W67" s="205"/>
      <c r="X67" s="208"/>
      <c r="Y67" s="206"/>
      <c r="Z67" s="205"/>
      <c r="AA67" s="208"/>
      <c r="AB67" s="206"/>
      <c r="AC67" s="205"/>
      <c r="AD67" s="208"/>
      <c r="AE67" s="206"/>
      <c r="AF67" s="205"/>
      <c r="AG67" s="208"/>
      <c r="AH67" s="206"/>
      <c r="AI67" s="205"/>
      <c r="AJ67" s="208"/>
      <c r="AK67" s="206"/>
      <c r="AL67" s="205"/>
      <c r="AM67" s="208"/>
      <c r="AN67" s="206"/>
      <c r="AO67" s="205"/>
      <c r="AP67" s="208"/>
      <c r="AQ67" s="206"/>
      <c r="AR67" s="205"/>
      <c r="AS67" s="208"/>
      <c r="AT67" s="206"/>
      <c r="AU67" s="254">
        <v>350</v>
      </c>
      <c r="AV67" s="255">
        <v>14</v>
      </c>
      <c r="AW67" s="206">
        <f t="shared" si="262"/>
        <v>4900</v>
      </c>
      <c r="AX67" s="254">
        <v>350</v>
      </c>
      <c r="AY67" s="255">
        <v>14</v>
      </c>
      <c r="AZ67" s="280">
        <f t="shared" si="263"/>
        <v>4900</v>
      </c>
      <c r="BA67" s="285">
        <f t="shared" si="47"/>
        <v>9800</v>
      </c>
      <c r="BB67" s="411">
        <f>AY67+AV67+AS67+AP67+AM67+AJ67+AG67+AD67+AA67+X67+U67+R67</f>
        <v>28</v>
      </c>
    </row>
    <row r="68" spans="1:54" ht="15" thickBot="1" x14ac:dyDescent="0.35">
      <c r="A68" s="194" t="s">
        <v>88</v>
      </c>
      <c r="B68" s="195" t="s">
        <v>30</v>
      </c>
      <c r="C68" s="198" t="s">
        <v>58</v>
      </c>
      <c r="D68" s="199"/>
      <c r="E68" s="143" t="s">
        <v>107</v>
      </c>
      <c r="F68" s="200" t="s">
        <v>4</v>
      </c>
      <c r="G68" s="201">
        <v>44136</v>
      </c>
      <c r="H68" s="229"/>
      <c r="I68" s="230" t="s">
        <v>12</v>
      </c>
      <c r="J68" s="146">
        <v>44136</v>
      </c>
      <c r="K68" s="5">
        <v>44196</v>
      </c>
      <c r="L68" s="143"/>
      <c r="M68" s="144"/>
      <c r="N68" s="144"/>
      <c r="O68" s="203">
        <v>4900</v>
      </c>
      <c r="P68" s="195" t="s">
        <v>30</v>
      </c>
      <c r="Q68" s="232"/>
      <c r="R68" s="208"/>
      <c r="S68" s="206"/>
      <c r="T68" s="232"/>
      <c r="U68" s="208"/>
      <c r="V68" s="206"/>
      <c r="W68" s="205"/>
      <c r="X68" s="208"/>
      <c r="Y68" s="206"/>
      <c r="Z68" s="205"/>
      <c r="AA68" s="208"/>
      <c r="AB68" s="206"/>
      <c r="AC68" s="205"/>
      <c r="AD68" s="208"/>
      <c r="AE68" s="206"/>
      <c r="AF68" s="205"/>
      <c r="AG68" s="208"/>
      <c r="AH68" s="206"/>
      <c r="AI68" s="205"/>
      <c r="AJ68" s="208"/>
      <c r="AK68" s="206"/>
      <c r="AL68" s="205"/>
      <c r="AM68" s="208"/>
      <c r="AN68" s="206"/>
      <c r="AO68" s="205"/>
      <c r="AP68" s="208"/>
      <c r="AQ68" s="206"/>
      <c r="AR68" s="205"/>
      <c r="AS68" s="208"/>
      <c r="AT68" s="206"/>
      <c r="AU68" s="254">
        <v>350</v>
      </c>
      <c r="AV68" s="255">
        <v>14</v>
      </c>
      <c r="AW68" s="206">
        <f t="shared" si="262"/>
        <v>4900</v>
      </c>
      <c r="AX68" s="254">
        <v>350</v>
      </c>
      <c r="AY68" s="255">
        <v>14</v>
      </c>
      <c r="AZ68" s="280">
        <f t="shared" si="263"/>
        <v>4900</v>
      </c>
      <c r="BA68" s="285">
        <f t="shared" si="47"/>
        <v>9800</v>
      </c>
      <c r="BB68" s="410">
        <f>AY68+AV68+AS68+AP68+AM68+AJ68+AG68+AD68+AA68+X68+U68+R68</f>
        <v>28</v>
      </c>
    </row>
    <row r="69" spans="1:54" ht="15" thickBot="1" x14ac:dyDescent="0.35">
      <c r="A69" s="194" t="s">
        <v>89</v>
      </c>
      <c r="B69" s="195" t="s">
        <v>30</v>
      </c>
      <c r="C69" s="198" t="s">
        <v>58</v>
      </c>
      <c r="D69" s="199"/>
      <c r="E69" s="143" t="s">
        <v>103</v>
      </c>
      <c r="F69" s="200" t="s">
        <v>4</v>
      </c>
      <c r="G69" s="201">
        <v>44136</v>
      </c>
      <c r="H69" s="229"/>
      <c r="I69" s="230" t="s">
        <v>12</v>
      </c>
      <c r="J69" s="146">
        <v>44136</v>
      </c>
      <c r="K69" s="5">
        <v>44196</v>
      </c>
      <c r="L69" s="143"/>
      <c r="M69" s="144"/>
      <c r="N69" s="144"/>
      <c r="O69" s="203">
        <v>4900</v>
      </c>
      <c r="P69" s="195" t="s">
        <v>30</v>
      </c>
      <c r="Q69" s="232"/>
      <c r="R69" s="208"/>
      <c r="S69" s="206"/>
      <c r="T69" s="232"/>
      <c r="U69" s="208"/>
      <c r="V69" s="206"/>
      <c r="W69" s="205"/>
      <c r="X69" s="208"/>
      <c r="Y69" s="206"/>
      <c r="Z69" s="205"/>
      <c r="AA69" s="208"/>
      <c r="AB69" s="206"/>
      <c r="AC69" s="205"/>
      <c r="AD69" s="208"/>
      <c r="AE69" s="206"/>
      <c r="AF69" s="205"/>
      <c r="AG69" s="208"/>
      <c r="AH69" s="206"/>
      <c r="AI69" s="205"/>
      <c r="AJ69" s="208"/>
      <c r="AK69" s="206"/>
      <c r="AL69" s="205"/>
      <c r="AM69" s="208"/>
      <c r="AN69" s="206"/>
      <c r="AO69" s="205"/>
      <c r="AP69" s="208"/>
      <c r="AQ69" s="206"/>
      <c r="AR69" s="205"/>
      <c r="AS69" s="208"/>
      <c r="AT69" s="206"/>
      <c r="AU69" s="254">
        <v>350</v>
      </c>
      <c r="AV69" s="255">
        <v>14</v>
      </c>
      <c r="AW69" s="206">
        <f t="shared" si="262"/>
        <v>4900</v>
      </c>
      <c r="AX69" s="254">
        <v>350</v>
      </c>
      <c r="AY69" s="255">
        <v>14</v>
      </c>
      <c r="AZ69" s="280">
        <f t="shared" si="263"/>
        <v>4900</v>
      </c>
      <c r="BA69" s="285">
        <f t="shared" si="47"/>
        <v>9800</v>
      </c>
      <c r="BB69" s="410">
        <f>AY69+AV69+AS69+AP69+AM69+AJ69+AG69+AD69+AA69+X69+U69+R69</f>
        <v>28</v>
      </c>
    </row>
    <row r="70" spans="1:54" ht="15" thickBot="1" x14ac:dyDescent="0.35">
      <c r="A70" s="194" t="s">
        <v>90</v>
      </c>
      <c r="B70" s="195" t="s">
        <v>30</v>
      </c>
      <c r="C70" s="198" t="s">
        <v>58</v>
      </c>
      <c r="D70" s="199"/>
      <c r="E70" s="143" t="s">
        <v>97</v>
      </c>
      <c r="F70" s="200" t="s">
        <v>4</v>
      </c>
      <c r="G70" s="201">
        <v>44136</v>
      </c>
      <c r="H70" s="229"/>
      <c r="I70" s="230" t="s">
        <v>12</v>
      </c>
      <c r="J70" s="231">
        <v>44136</v>
      </c>
      <c r="K70" s="8">
        <v>44196</v>
      </c>
      <c r="L70" s="143"/>
      <c r="M70" s="144"/>
      <c r="N70" s="144"/>
      <c r="O70" s="203">
        <v>4900</v>
      </c>
      <c r="P70" s="195" t="s">
        <v>30</v>
      </c>
      <c r="Q70" s="232"/>
      <c r="R70" s="208"/>
      <c r="S70" s="206"/>
      <c r="T70" s="232"/>
      <c r="U70" s="208"/>
      <c r="V70" s="206"/>
      <c r="W70" s="205"/>
      <c r="X70" s="208"/>
      <c r="Y70" s="206"/>
      <c r="Z70" s="205"/>
      <c r="AA70" s="208"/>
      <c r="AB70" s="206"/>
      <c r="AC70" s="205"/>
      <c r="AD70" s="208"/>
      <c r="AE70" s="206"/>
      <c r="AF70" s="205"/>
      <c r="AG70" s="208"/>
      <c r="AH70" s="206"/>
      <c r="AI70" s="205"/>
      <c r="AJ70" s="208"/>
      <c r="AK70" s="206"/>
      <c r="AL70" s="205"/>
      <c r="AM70" s="208"/>
      <c r="AN70" s="206"/>
      <c r="AO70" s="205"/>
      <c r="AP70" s="208"/>
      <c r="AQ70" s="206"/>
      <c r="AR70" s="205"/>
      <c r="AS70" s="208"/>
      <c r="AT70" s="206"/>
      <c r="AU70" s="268">
        <v>350</v>
      </c>
      <c r="AV70" s="269">
        <v>28</v>
      </c>
      <c r="AW70" s="52">
        <f t="shared" si="262"/>
        <v>9800</v>
      </c>
      <c r="AX70" s="268">
        <v>350</v>
      </c>
      <c r="AY70" s="269">
        <v>14</v>
      </c>
      <c r="AZ70" s="278">
        <f t="shared" si="263"/>
        <v>4900</v>
      </c>
      <c r="BA70" s="285">
        <f t="shared" si="47"/>
        <v>14700</v>
      </c>
      <c r="BB70" s="411">
        <f>AY70+AV70+AS70+AP70+AM70+AJ70+AG70+AD70+AA70+X70+U70+R70</f>
        <v>42</v>
      </c>
    </row>
    <row r="71" spans="1:54" x14ac:dyDescent="0.3">
      <c r="R71" s="408">
        <f>SUM(R46:R70)</f>
        <v>80</v>
      </c>
      <c r="U71" s="408">
        <f>SUM(U46:U70)</f>
        <v>90</v>
      </c>
      <c r="X71" s="408">
        <f>SUM(X46:X70)</f>
        <v>110</v>
      </c>
      <c r="AA71" s="408">
        <f>SUM(AA46:AA70)</f>
        <v>110</v>
      </c>
      <c r="AD71" s="408">
        <f>SUM(AD46:AD70)</f>
        <v>222</v>
      </c>
      <c r="AG71" s="408">
        <f>SUM(AG46:AG70)</f>
        <v>233</v>
      </c>
      <c r="AJ71" s="408">
        <f>SUM(AJ46:AJ70)</f>
        <v>233</v>
      </c>
      <c r="AM71" s="408">
        <f>SUM(AM46:AM70)</f>
        <v>243</v>
      </c>
      <c r="AP71" s="408">
        <f>SUM(AP46:AP70)</f>
        <v>243</v>
      </c>
      <c r="AS71" s="408">
        <f>SUM(AS46:AS70)</f>
        <v>260</v>
      </c>
      <c r="AV71" s="408">
        <f>SUM(AV46:AV70)</f>
        <v>475</v>
      </c>
      <c r="AY71" s="408">
        <f>SUM(AY46:AY70)</f>
        <v>461</v>
      </c>
    </row>
  </sheetData>
  <autoFilter ref="A9:BA44" xr:uid="{00000000-0009-0000-0000-000000000000}">
    <filterColumn colId="9" showButton="0"/>
    <filterColumn colId="10" showButton="0"/>
    <filterColumn colId="11" showButton="0"/>
    <filterColumn colId="12" showButton="0"/>
    <filterColumn colId="13" showButton="0"/>
    <filterColumn colId="16" showButton="0"/>
    <filterColumn colId="17" showButton="0"/>
    <filterColumn colId="19" showButton="0"/>
    <filterColumn colId="20" showButton="0"/>
    <filterColumn colId="22" showButton="0"/>
    <filterColumn colId="23" showButton="0"/>
    <filterColumn colId="25" showButton="0"/>
    <filterColumn colId="26" showButton="0"/>
    <filterColumn colId="28" showButton="0"/>
    <filterColumn colId="29" showButton="0"/>
    <filterColumn colId="31" showButton="0"/>
    <filterColumn colId="32" showButton="0"/>
    <filterColumn colId="34" showButton="0"/>
    <filterColumn colId="35" showButton="0"/>
    <filterColumn colId="37" showButton="0"/>
    <filterColumn colId="38" showButton="0"/>
    <filterColumn colId="40" showButton="0"/>
    <filterColumn colId="41" showButton="0"/>
    <filterColumn colId="43" showButton="0"/>
    <filterColumn colId="44" showButton="0"/>
    <filterColumn colId="46" showButton="0"/>
    <filterColumn colId="47" showButton="0"/>
    <filterColumn colId="49" showButton="0"/>
    <filterColumn colId="50" showButton="0"/>
  </autoFilter>
  <mergeCells count="45">
    <mergeCell ref="AO9:AQ9"/>
    <mergeCell ref="AR9:AT9"/>
    <mergeCell ref="AU9:AW9"/>
    <mergeCell ref="T10:V10"/>
    <mergeCell ref="W10:Y10"/>
    <mergeCell ref="Z10:AB10"/>
    <mergeCell ref="AC10:AE10"/>
    <mergeCell ref="AF10:AH10"/>
    <mergeCell ref="AL10:AN10"/>
    <mergeCell ref="AO10:AQ10"/>
    <mergeCell ref="AR10:AT10"/>
    <mergeCell ref="AU10:AW10"/>
    <mergeCell ref="AC9:AE9"/>
    <mergeCell ref="AX10:AZ10"/>
    <mergeCell ref="AX9:AZ9"/>
    <mergeCell ref="Q1:S1"/>
    <mergeCell ref="T1:V1"/>
    <mergeCell ref="W1:Y1"/>
    <mergeCell ref="Z1:AB1"/>
    <mergeCell ref="AC1:AE1"/>
    <mergeCell ref="AF1:AH1"/>
    <mergeCell ref="AI1:AK1"/>
    <mergeCell ref="AL1:AN1"/>
    <mergeCell ref="AO1:AQ1"/>
    <mergeCell ref="AR1:AT1"/>
    <mergeCell ref="AU1:AW1"/>
    <mergeCell ref="AX1:AZ1"/>
    <mergeCell ref="AI9:AK9"/>
    <mergeCell ref="Q9:S9"/>
    <mergeCell ref="A34:A38"/>
    <mergeCell ref="A40:A44"/>
    <mergeCell ref="A47:A48"/>
    <mergeCell ref="AL9:AN9"/>
    <mergeCell ref="A12:A17"/>
    <mergeCell ref="A18:A21"/>
    <mergeCell ref="A22:A26"/>
    <mergeCell ref="A27:A33"/>
    <mergeCell ref="P9:P11"/>
    <mergeCell ref="Q10:S10"/>
    <mergeCell ref="AF9:AH9"/>
    <mergeCell ref="T9:V9"/>
    <mergeCell ref="W9:Y9"/>
    <mergeCell ref="Z9:AB9"/>
    <mergeCell ref="J9:O10"/>
    <mergeCell ref="AI10:AK10"/>
  </mergeCells>
  <phoneticPr fontId="8" type="noConversion"/>
  <conditionalFormatting sqref="Q25:S25 S39:AZ39 Q18:AZ21 T12:U15 W12:X15 Z12:AA15 AC12:AD15 AF12:AG15 AI12:AJ15 AL12:AM15 AO12:AP15 AR12:AS15 AU12:AV15 AX12:AY15 S16:AZ17 Q39:R42 R40:AZ42 Q43:AZ43 Q27:AZ31 Q34:AZ37 Q12:R25 S22:AZ25">
    <cfRule type="cellIs" dxfId="1872" priority="497" operator="lessThan">
      <formula>0.05</formula>
    </cfRule>
  </conditionalFormatting>
  <conditionalFormatting sqref="L39:O39 T46:AE46 J46:O46 S50 S53:S54">
    <cfRule type="containsBlanks" dxfId="1871" priority="474">
      <formula>LEN(TRIM(J39))=0</formula>
    </cfRule>
  </conditionalFormatting>
  <conditionalFormatting sqref="T17">
    <cfRule type="containsBlanks" dxfId="1870" priority="451">
      <formula>LEN(TRIM(T17))=0</formula>
    </cfRule>
  </conditionalFormatting>
  <conditionalFormatting sqref="S44 AE44 T46:AE46 S50 S53:S54 V44 Y44 AB44 AH44 AK44 AN44 AW44 AQ44 AZ44 AT44">
    <cfRule type="containsBlanks" dxfId="1869" priority="448">
      <formula>LEN(TRIM(S44))=0</formula>
    </cfRule>
    <cfRule type="containsBlanks" dxfId="1868" priority="449">
      <formula>LEN(TRIM(S44))=0</formula>
    </cfRule>
  </conditionalFormatting>
  <conditionalFormatting sqref="S44 AE44 V44 Y44 AB44 AH44 AK44 AN44 AW44 AQ44 AZ44 AT44">
    <cfRule type="containsBlanks" dxfId="1867" priority="447">
      <formula>LEN(TRIM(S44))=0</formula>
    </cfRule>
  </conditionalFormatting>
  <conditionalFormatting sqref="Q38:AZ38">
    <cfRule type="cellIs" dxfId="1866" priority="445" operator="lessThan">
      <formula>0.05</formula>
    </cfRule>
  </conditionalFormatting>
  <conditionalFormatting sqref="Q38:AZ38">
    <cfRule type="containsBlanks" dxfId="1865" priority="443">
      <formula>LEN(TRIM(Q38))=0</formula>
    </cfRule>
    <cfRule type="containsBlanks" dxfId="1864" priority="444">
      <formula>LEN(TRIM(Q38))=0</formula>
    </cfRule>
  </conditionalFormatting>
  <conditionalFormatting sqref="Q38:AZ38">
    <cfRule type="containsBlanks" dxfId="1863" priority="442">
      <formula>LEN(TRIM(Q38))=0</formula>
    </cfRule>
  </conditionalFormatting>
  <conditionalFormatting sqref="Q38 W38 Z38 AC38 AF38 AI38 AL38 AO38 AR38 AU38 AX38 T38">
    <cfRule type="containsBlanks" dxfId="1862" priority="441">
      <formula>LEN(TRIM(Q38))=0</formula>
    </cfRule>
  </conditionalFormatting>
  <conditionalFormatting sqref="Q26:AZ26">
    <cfRule type="cellIs" dxfId="1861" priority="435" operator="lessThan">
      <formula>0.05</formula>
    </cfRule>
  </conditionalFormatting>
  <conditionalFormatting sqref="Q26:AZ26">
    <cfRule type="containsBlanks" dxfId="1860" priority="433">
      <formula>LEN(TRIM(Q26))=0</formula>
    </cfRule>
    <cfRule type="containsBlanks" dxfId="1859" priority="434">
      <formula>LEN(TRIM(Q26))=0</formula>
    </cfRule>
  </conditionalFormatting>
  <conditionalFormatting sqref="Q26:AZ26">
    <cfRule type="containsBlanks" dxfId="1858" priority="432">
      <formula>LEN(TRIM(Q26))=0</formula>
    </cfRule>
  </conditionalFormatting>
  <conditionalFormatting sqref="Q26 T26 W26 Z26 AC26 AF26 AI26 AL26 AO26 AR26 AU26 AX26">
    <cfRule type="containsBlanks" dxfId="1857" priority="431">
      <formula>LEN(TRIM(Q26))=0</formula>
    </cfRule>
  </conditionalFormatting>
  <conditionalFormatting sqref="T17">
    <cfRule type="containsBlanks" dxfId="1856" priority="429">
      <formula>LEN(TRIM(T17))=0</formula>
    </cfRule>
  </conditionalFormatting>
  <conditionalFormatting sqref="W17 Z17 AC17 AF17 AI17 AL17 AO17 AR17 AU17 AX17">
    <cfRule type="containsBlanks" dxfId="1855" priority="428">
      <formula>LEN(TRIM(W17))=0</formula>
    </cfRule>
  </conditionalFormatting>
  <conditionalFormatting sqref="Q21 AO21 AU21 AR21 AX21 T21 W21 Z21 AC21 AF21 AI21 AL21">
    <cfRule type="containsBlanks" dxfId="1854" priority="400">
      <formula>LEN(TRIM(Q21))=0</formula>
    </cfRule>
  </conditionalFormatting>
  <conditionalFormatting sqref="Q17 T17 W17 Z17 AC17 AF17 AI17 AL17 AO17 AR17 AU17 AX17">
    <cfRule type="containsBlanks" dxfId="1853" priority="399">
      <formula>LEN(TRIM(Q17))=0</formula>
    </cfRule>
  </conditionalFormatting>
  <conditionalFormatting sqref="Q17 T17 W17 Z17 AC17 AF17 AI17 AL17 AO17 AR17 AU17 AX17">
    <cfRule type="containsBlanks" dxfId="1852" priority="398">
      <formula>LEN(TRIM(Q17))=0</formula>
    </cfRule>
  </conditionalFormatting>
  <conditionalFormatting sqref="J14:K17 J13">
    <cfRule type="containsBlanks" dxfId="1851" priority="395">
      <formula>LEN(TRIM(J13))=0</formula>
    </cfRule>
  </conditionalFormatting>
  <conditionalFormatting sqref="L19:O21">
    <cfRule type="containsBlanks" dxfId="1850" priority="391">
      <formula>LEN(TRIM(L19))=0</formula>
    </cfRule>
  </conditionalFormatting>
  <conditionalFormatting sqref="J19:K21">
    <cfRule type="containsBlanks" dxfId="1849" priority="389">
      <formula>LEN(TRIM(J19))=0</formula>
    </cfRule>
  </conditionalFormatting>
  <conditionalFormatting sqref="L24:O26">
    <cfRule type="containsBlanks" dxfId="1848" priority="383">
      <formula>LEN(TRIM(L24))=0</formula>
    </cfRule>
  </conditionalFormatting>
  <conditionalFormatting sqref="J24:K26">
    <cfRule type="containsBlanks" dxfId="1847" priority="382">
      <formula>LEN(TRIM(J24))=0</formula>
    </cfRule>
  </conditionalFormatting>
  <conditionalFormatting sqref="L29:O30 L27:N28">
    <cfRule type="containsBlanks" dxfId="1846" priority="381">
      <formula>LEN(TRIM(L27))=0</formula>
    </cfRule>
  </conditionalFormatting>
  <conditionalFormatting sqref="J28:K30">
    <cfRule type="containsBlanks" dxfId="1845" priority="379">
      <formula>LEN(TRIM(J28))=0</formula>
    </cfRule>
  </conditionalFormatting>
  <conditionalFormatting sqref="L31:O33">
    <cfRule type="containsBlanks" dxfId="1844" priority="378">
      <formula>LEN(TRIM(L31))=0</formula>
    </cfRule>
  </conditionalFormatting>
  <conditionalFormatting sqref="J31:K33">
    <cfRule type="containsBlanks" dxfId="1843" priority="377">
      <formula>LEN(TRIM(J31))=0</formula>
    </cfRule>
  </conditionalFormatting>
  <conditionalFormatting sqref="L35:O36">
    <cfRule type="containsBlanks" dxfId="1842" priority="371">
      <formula>LEN(TRIM(L35))=0</formula>
    </cfRule>
  </conditionalFormatting>
  <conditionalFormatting sqref="J35:K36">
    <cfRule type="containsBlanks" dxfId="1841" priority="369">
      <formula>LEN(TRIM(J35))=0</formula>
    </cfRule>
  </conditionalFormatting>
  <conditionalFormatting sqref="J39:K39">
    <cfRule type="containsBlanks" dxfId="1840" priority="366">
      <formula>LEN(TRIM(J39))=0</formula>
    </cfRule>
  </conditionalFormatting>
  <conditionalFormatting sqref="J39:K39">
    <cfRule type="containsBlanks" dxfId="1839" priority="365">
      <formula>LEN(TRIM(J39))=0</formula>
    </cfRule>
  </conditionalFormatting>
  <conditionalFormatting sqref="L42:O42 L41:N41">
    <cfRule type="containsBlanks" dxfId="1838" priority="364">
      <formula>LEN(TRIM(L41))=0</formula>
    </cfRule>
  </conditionalFormatting>
  <conditionalFormatting sqref="J42:K42 J41">
    <cfRule type="containsBlanks" dxfId="1837" priority="362">
      <formula>LEN(TRIM(J41))=0</formula>
    </cfRule>
  </conditionalFormatting>
  <conditionalFormatting sqref="L43:O44">
    <cfRule type="containsBlanks" dxfId="1836" priority="361">
      <formula>LEN(TRIM(L43))=0</formula>
    </cfRule>
  </conditionalFormatting>
  <conditionalFormatting sqref="J43:K44">
    <cfRule type="containsBlanks" dxfId="1835" priority="360">
      <formula>LEN(TRIM(J43))=0</formula>
    </cfRule>
  </conditionalFormatting>
  <conditionalFormatting sqref="Q32:AZ33">
    <cfRule type="cellIs" dxfId="1834" priority="358" operator="lessThan">
      <formula>0.05</formula>
    </cfRule>
  </conditionalFormatting>
  <conditionalFormatting sqref="Q32:AZ33">
    <cfRule type="containsBlanks" dxfId="1833" priority="357">
      <formula>LEN(TRIM(Q32))=0</formula>
    </cfRule>
  </conditionalFormatting>
  <conditionalFormatting sqref="T33 AC33 Q33 W33 Z33 AF33 AI33 AL33 AO33 AR33 AU33 AX33">
    <cfRule type="containsBlanks" dxfId="1832" priority="356">
      <formula>LEN(TRIM(Q33))=0</formula>
    </cfRule>
  </conditionalFormatting>
  <conditionalFormatting sqref="O27:O28">
    <cfRule type="containsBlanks" dxfId="1831" priority="353">
      <formula>LEN(TRIM(O27))=0</formula>
    </cfRule>
  </conditionalFormatting>
  <conditionalFormatting sqref="L18:O18">
    <cfRule type="containsBlanks" dxfId="1830" priority="352">
      <formula>LEN(TRIM(L18))=0</formula>
    </cfRule>
  </conditionalFormatting>
  <conditionalFormatting sqref="L22:O22 L23 O23">
    <cfRule type="containsBlanks" dxfId="1829" priority="351">
      <formula>LEN(TRIM(L22))=0</formula>
    </cfRule>
  </conditionalFormatting>
  <conditionalFormatting sqref="L34:O34">
    <cfRule type="containsBlanks" dxfId="1828" priority="350">
      <formula>LEN(TRIM(L34))=0</formula>
    </cfRule>
  </conditionalFormatting>
  <conditionalFormatting sqref="L40:O40 O41">
    <cfRule type="containsBlanks" dxfId="1827" priority="349">
      <formula>LEN(TRIM(L40))=0</formula>
    </cfRule>
  </conditionalFormatting>
  <conditionalFormatting sqref="J37:O38">
    <cfRule type="containsBlanks" dxfId="1826" priority="348">
      <formula>LEN(TRIM(J37))=0</formula>
    </cfRule>
  </conditionalFormatting>
  <conditionalFormatting sqref="Q50 Q53:Q54">
    <cfRule type="cellIs" dxfId="1825" priority="168" operator="lessThan">
      <formula>0.05</formula>
    </cfRule>
  </conditionalFormatting>
  <conditionalFormatting sqref="AN46 AQ46 AT46 AW46 AZ46">
    <cfRule type="containsBlanks" dxfId="1824" priority="154">
      <formula>LEN(TRIM(AN46))=0</formula>
    </cfRule>
    <cfRule type="containsBlanks" dxfId="1823" priority="155">
      <formula>LEN(TRIM(AN46))=0</formula>
    </cfRule>
  </conditionalFormatting>
  <conditionalFormatting sqref="Y17 AB17 AE17 AH17 AK17 AN17 AQ17 AT17 AW17 AZ17">
    <cfRule type="cellIs" dxfId="1822" priority="320" operator="lessThan">
      <formula>0.05</formula>
    </cfRule>
  </conditionalFormatting>
  <conditionalFormatting sqref="Y17 AB17 AE17 AH17 AK17 AN17 AQ17 AT17 AW17 AZ17">
    <cfRule type="containsBlanks" dxfId="1821" priority="318">
      <formula>LEN(TRIM(Y17))=0</formula>
    </cfRule>
    <cfRule type="containsBlanks" dxfId="1820" priority="319">
      <formula>LEN(TRIM(Y17))=0</formula>
    </cfRule>
  </conditionalFormatting>
  <conditionalFormatting sqref="V17">
    <cfRule type="cellIs" dxfId="1819" priority="314" operator="lessThan">
      <formula>0.05</formula>
    </cfRule>
  </conditionalFormatting>
  <conditionalFormatting sqref="V17">
    <cfRule type="containsBlanks" dxfId="1818" priority="312">
      <formula>LEN(TRIM(V17))=0</formula>
    </cfRule>
    <cfRule type="containsBlanks" dxfId="1817" priority="313">
      <formula>LEN(TRIM(V17))=0</formula>
    </cfRule>
  </conditionalFormatting>
  <conditionalFormatting sqref="V21 AB21 AH21 AN21 AT21 AZ21">
    <cfRule type="cellIs" dxfId="1816" priority="311" operator="lessThan">
      <formula>0.05</formula>
    </cfRule>
  </conditionalFormatting>
  <conditionalFormatting sqref="V21 AB21 AH21 AN21 AT21 AZ21">
    <cfRule type="containsBlanks" dxfId="1815" priority="309">
      <formula>LEN(TRIM(V21))=0</formula>
    </cfRule>
    <cfRule type="containsBlanks" dxfId="1814" priority="310">
      <formula>LEN(TRIM(V21))=0</formula>
    </cfRule>
  </conditionalFormatting>
  <conditionalFormatting sqref="S17">
    <cfRule type="cellIs" dxfId="1813" priority="308" operator="lessThan">
      <formula>0.05</formula>
    </cfRule>
  </conditionalFormatting>
  <conditionalFormatting sqref="S17">
    <cfRule type="containsBlanks" dxfId="1812" priority="306">
      <formula>LEN(TRIM(S17))=0</formula>
    </cfRule>
    <cfRule type="containsBlanks" dxfId="1811" priority="307">
      <formula>LEN(TRIM(S17))=0</formula>
    </cfRule>
  </conditionalFormatting>
  <conditionalFormatting sqref="S21 AQ21 AW21 AT21 AZ21 V21 Y21 AB21 AE21 AH21 AK21 AN21">
    <cfRule type="cellIs" dxfId="1810" priority="305" operator="lessThan">
      <formula>0.05</formula>
    </cfRule>
  </conditionalFormatting>
  <conditionalFormatting sqref="S21 AQ21 AW21 AT21 AZ21 V21 Y21 AB21 AE21 AH21 AK21 AN21">
    <cfRule type="containsBlanks" dxfId="1809" priority="303">
      <formula>LEN(TRIM(S21))=0</formula>
    </cfRule>
    <cfRule type="containsBlanks" dxfId="1808" priority="304">
      <formula>LEN(TRIM(S21))=0</formula>
    </cfRule>
  </conditionalFormatting>
  <conditionalFormatting sqref="L14:O17">
    <cfRule type="containsBlanks" dxfId="1807" priority="302">
      <formula>LEN(TRIM(L14))=0</formula>
    </cfRule>
  </conditionalFormatting>
  <conditionalFormatting sqref="M13:N13">
    <cfRule type="containsBlanks" dxfId="1806" priority="300">
      <formula>LEN(TRIM(M13))=0</formula>
    </cfRule>
  </conditionalFormatting>
  <conditionalFormatting sqref="S15 V15 Y15 AB15 AE15 AH15 AK15 AN15 AQ15 AT15 AW15 AZ15">
    <cfRule type="cellIs" dxfId="1805" priority="299" operator="lessThan">
      <formula>0.05</formula>
    </cfRule>
  </conditionalFormatting>
  <conditionalFormatting sqref="Q44:R44 T44:U44 W44:X44 Z44:AA44">
    <cfRule type="cellIs" dxfId="1804" priority="262" operator="lessThan">
      <formula>0.05</formula>
    </cfRule>
  </conditionalFormatting>
  <conditionalFormatting sqref="Q44:R44 T44:U44 W44:X44 Z44:AA44">
    <cfRule type="containsBlanks" dxfId="1803" priority="260">
      <formula>LEN(TRIM(Q44))=0</formula>
    </cfRule>
    <cfRule type="containsBlanks" dxfId="1802" priority="261">
      <formula>LEN(TRIM(Q44))=0</formula>
    </cfRule>
  </conditionalFormatting>
  <conditionalFormatting sqref="Q44:R44 T44:U44 W44:X44 Z44:AA44">
    <cfRule type="containsBlanks" dxfId="1801" priority="259">
      <formula>LEN(TRIM(Q44))=0</formula>
    </cfRule>
  </conditionalFormatting>
  <conditionalFormatting sqref="Q44 T44 W44 Z44">
    <cfRule type="containsBlanks" dxfId="1800" priority="258">
      <formula>LEN(TRIM(Q44))=0</formula>
    </cfRule>
  </conditionalFormatting>
  <conditionalFormatting sqref="AC44:AD44 AF44:AG44 AI44:AJ44 AL44:AM44 AU44:AV44 AO44:AP44 AX44:AY44 AR44:AS44">
    <cfRule type="cellIs" dxfId="1799" priority="242" operator="lessThan">
      <formula>0.05</formula>
    </cfRule>
  </conditionalFormatting>
  <conditionalFormatting sqref="AC44:AD44 AF44:AG44 AI44:AJ44 AL44:AM44 AU44:AV44 AO44:AP44 AX44:AY44 AR44:AS44">
    <cfRule type="containsBlanks" dxfId="1798" priority="240">
      <formula>LEN(TRIM(AC44))=0</formula>
    </cfRule>
    <cfRule type="containsBlanks" dxfId="1797" priority="241">
      <formula>LEN(TRIM(AC44))=0</formula>
    </cfRule>
  </conditionalFormatting>
  <conditionalFormatting sqref="AC44:AD44 AF44:AG44 AI44:AJ44 AL44:AM44 AU44:AV44 AO44:AP44 AX44:AY44 AR44:AS44">
    <cfRule type="containsBlanks" dxfId="1796" priority="239">
      <formula>LEN(TRIM(AC44))=0</formula>
    </cfRule>
  </conditionalFormatting>
  <conditionalFormatting sqref="AC44 AF44 AI44 AL44 AU44 AO44 AX44 AR44">
    <cfRule type="containsBlanks" dxfId="1795" priority="238">
      <formula>LEN(TRIM(AC44))=0</formula>
    </cfRule>
  </conditionalFormatting>
  <conditionalFormatting sqref="T48:AT48 T47:AE47">
    <cfRule type="containsBlanks" dxfId="1794" priority="201">
      <formula>LEN(TRIM(T47))=0</formula>
    </cfRule>
    <cfRule type="containsBlanks" dxfId="1793" priority="202">
      <formula>LEN(TRIM(T47))=0</formula>
    </cfRule>
  </conditionalFormatting>
  <conditionalFormatting sqref="T48:AT48 T47:AE47">
    <cfRule type="containsBlanks" dxfId="1792" priority="200">
      <formula>LEN(TRIM(T47))=0</formula>
    </cfRule>
  </conditionalFormatting>
  <conditionalFormatting sqref="L47:O48">
    <cfRule type="containsBlanks" dxfId="1791" priority="199">
      <formula>LEN(TRIM(L47))=0</formula>
    </cfRule>
  </conditionalFormatting>
  <conditionalFormatting sqref="T49:AT49 T51:AW51 T52:AQ52">
    <cfRule type="containsBlanks" dxfId="1790" priority="195">
      <formula>LEN(TRIM(T49))=0</formula>
    </cfRule>
    <cfRule type="containsBlanks" dxfId="1789" priority="196">
      <formula>LEN(TRIM(T49))=0</formula>
    </cfRule>
  </conditionalFormatting>
  <conditionalFormatting sqref="T49:AT49 T51:AW51 T52:AQ52">
    <cfRule type="containsBlanks" dxfId="1788" priority="194">
      <formula>LEN(TRIM(T49))=0</formula>
    </cfRule>
  </conditionalFormatting>
  <conditionalFormatting sqref="L49:O54">
    <cfRule type="containsBlanks" dxfId="1787" priority="193">
      <formula>LEN(TRIM(L49))=0</formula>
    </cfRule>
  </conditionalFormatting>
  <conditionalFormatting sqref="J50:K54">
    <cfRule type="containsBlanks" dxfId="1786" priority="192">
      <formula>LEN(TRIM(J50))=0</formula>
    </cfRule>
  </conditionalFormatting>
  <conditionalFormatting sqref="J50:K54">
    <cfRule type="containsBlanks" dxfId="1785" priority="191">
      <formula>LEN(TRIM(J50))=0</formula>
    </cfRule>
  </conditionalFormatting>
  <conditionalFormatting sqref="T55:V55">
    <cfRule type="containsBlanks" dxfId="1784" priority="189">
      <formula>LEN(TRIM(T55))=0</formula>
    </cfRule>
    <cfRule type="containsBlanks" dxfId="1783" priority="190">
      <formula>LEN(TRIM(T55))=0</formula>
    </cfRule>
  </conditionalFormatting>
  <conditionalFormatting sqref="T55:V55">
    <cfRule type="containsBlanks" dxfId="1782" priority="188">
      <formula>LEN(TRIM(T55))=0</formula>
    </cfRule>
  </conditionalFormatting>
  <conditionalFormatting sqref="L55:O55">
    <cfRule type="containsBlanks" dxfId="1781" priority="187">
      <formula>LEN(TRIM(L55))=0</formula>
    </cfRule>
  </conditionalFormatting>
  <conditionalFormatting sqref="AB55 AE55 AH55 AK55 AN55 AQ55 AT55 AW55 AZ55">
    <cfRule type="containsBlanks" dxfId="1780" priority="67">
      <formula>LEN(TRIM(AB55))=0</formula>
    </cfRule>
  </conditionalFormatting>
  <conditionalFormatting sqref="AL56:AZ56">
    <cfRule type="containsBlanks" dxfId="1779" priority="183">
      <formula>LEN(TRIM(AL56))=0</formula>
    </cfRule>
    <cfRule type="containsBlanks" dxfId="1778" priority="184">
      <formula>LEN(TRIM(AL56))=0</formula>
    </cfRule>
  </conditionalFormatting>
  <conditionalFormatting sqref="AL56:AZ56">
    <cfRule type="containsBlanks" dxfId="1777" priority="182">
      <formula>LEN(TRIM(AL56))=0</formula>
    </cfRule>
  </conditionalFormatting>
  <conditionalFormatting sqref="L56:O56">
    <cfRule type="containsBlanks" dxfId="1776" priority="181">
      <formula>LEN(TRIM(L56))=0</formula>
    </cfRule>
  </conditionalFormatting>
  <conditionalFormatting sqref="Q55:S55">
    <cfRule type="containsBlanks" dxfId="1775" priority="60">
      <formula>LEN(TRIM(Q55))=0</formula>
    </cfRule>
  </conditionalFormatting>
  <conditionalFormatting sqref="T62:AT70 T57:AB60 T61:AQ61">
    <cfRule type="containsBlanks" dxfId="1774" priority="177">
      <formula>LEN(TRIM(T57))=0</formula>
    </cfRule>
    <cfRule type="containsBlanks" dxfId="1773" priority="178">
      <formula>LEN(TRIM(T57))=0</formula>
    </cfRule>
  </conditionalFormatting>
  <conditionalFormatting sqref="T62:AT70 T57:AB60 T61:AQ61">
    <cfRule type="containsBlanks" dxfId="1772" priority="176">
      <formula>LEN(TRIM(T57))=0</formula>
    </cfRule>
  </conditionalFormatting>
  <conditionalFormatting sqref="L57:O70">
    <cfRule type="containsBlanks" dxfId="1771" priority="175">
      <formula>LEN(TRIM(L57))=0</formula>
    </cfRule>
  </conditionalFormatting>
  <conditionalFormatting sqref="K48">
    <cfRule type="containsBlanks" dxfId="1770" priority="172">
      <formula>LEN(TRIM(K48))=0</formula>
    </cfRule>
  </conditionalFormatting>
  <conditionalFormatting sqref="K49">
    <cfRule type="containsBlanks" dxfId="1769" priority="171">
      <formula>LEN(TRIM(K49))=0</formula>
    </cfRule>
  </conditionalFormatting>
  <conditionalFormatting sqref="K55:K59 K61:K70">
    <cfRule type="containsBlanks" dxfId="1768" priority="170">
      <formula>LEN(TRIM(K55))=0</formula>
    </cfRule>
  </conditionalFormatting>
  <conditionalFormatting sqref="K55:K59 K61:K70">
    <cfRule type="containsBlanks" dxfId="1767" priority="169">
      <formula>LEN(TRIM(K55))=0</formula>
    </cfRule>
  </conditionalFormatting>
  <conditionalFormatting sqref="R50 R53:R54">
    <cfRule type="cellIs" dxfId="1766" priority="167" operator="lessThan">
      <formula>0.05</formula>
    </cfRule>
  </conditionalFormatting>
  <conditionalFormatting sqref="AA55 AD55 AG55 AJ55 AM55 AP55 AS55 AV55 AY55">
    <cfRule type="cellIs" dxfId="1765" priority="63" operator="lessThan">
      <formula>0.05</formula>
    </cfRule>
  </conditionalFormatting>
  <conditionalFormatting sqref="AN46 AQ46 AT46 AW46 AZ46">
    <cfRule type="containsBlanks" dxfId="1764" priority="156">
      <formula>LEN(TRIM(AN46))=0</formula>
    </cfRule>
  </conditionalFormatting>
  <conditionalFormatting sqref="AL46 AO46 AR46 AU46 AX46">
    <cfRule type="cellIs" dxfId="1763" priority="153" operator="lessThan">
      <formula>0.05</formula>
    </cfRule>
  </conditionalFormatting>
  <conditionalFormatting sqref="AM46 AP46 AS46 AV46 AY46">
    <cfRule type="cellIs" dxfId="1762" priority="152" operator="lessThan">
      <formula>0.05</formula>
    </cfRule>
  </conditionalFormatting>
  <conditionalFormatting sqref="AF46:AH46">
    <cfRule type="containsBlanks" dxfId="1761" priority="151">
      <formula>LEN(TRIM(AF46))=0</formula>
    </cfRule>
  </conditionalFormatting>
  <conditionalFormatting sqref="AF46:AH46">
    <cfRule type="containsBlanks" dxfId="1760" priority="149">
      <formula>LEN(TRIM(AF46))=0</formula>
    </cfRule>
    <cfRule type="containsBlanks" dxfId="1759" priority="150">
      <formula>LEN(TRIM(AF46))=0</formula>
    </cfRule>
  </conditionalFormatting>
  <conditionalFormatting sqref="AI46:AK46">
    <cfRule type="containsBlanks" dxfId="1758" priority="148">
      <formula>LEN(TRIM(AI46))=0</formula>
    </cfRule>
  </conditionalFormatting>
  <conditionalFormatting sqref="AI46:AK46">
    <cfRule type="containsBlanks" dxfId="1757" priority="146">
      <formula>LEN(TRIM(AI46))=0</formula>
    </cfRule>
    <cfRule type="containsBlanks" dxfId="1756" priority="147">
      <formula>LEN(TRIM(AI46))=0</formula>
    </cfRule>
  </conditionalFormatting>
  <conditionalFormatting sqref="AH47">
    <cfRule type="containsBlanks" dxfId="1755" priority="145">
      <formula>LEN(TRIM(AH47))=0</formula>
    </cfRule>
  </conditionalFormatting>
  <conditionalFormatting sqref="AH47">
    <cfRule type="containsBlanks" dxfId="1754" priority="143">
      <formula>LEN(TRIM(AH47))=0</formula>
    </cfRule>
    <cfRule type="containsBlanks" dxfId="1753" priority="144">
      <formula>LEN(TRIM(AH47))=0</formula>
    </cfRule>
  </conditionalFormatting>
  <conditionalFormatting sqref="AF47">
    <cfRule type="cellIs" dxfId="1752" priority="142" operator="lessThan">
      <formula>0.05</formula>
    </cfRule>
  </conditionalFormatting>
  <conditionalFormatting sqref="AG47">
    <cfRule type="cellIs" dxfId="1751" priority="141" operator="lessThan">
      <formula>0.05</formula>
    </cfRule>
  </conditionalFormatting>
  <conditionalFormatting sqref="AK47 AN47 AQ47 AT47">
    <cfRule type="containsBlanks" dxfId="1750" priority="140">
      <formula>LEN(TRIM(AK47))=0</formula>
    </cfRule>
  </conditionalFormatting>
  <conditionalFormatting sqref="AK47 AN47 AQ47 AT47">
    <cfRule type="containsBlanks" dxfId="1749" priority="138">
      <formula>LEN(TRIM(AK47))=0</formula>
    </cfRule>
    <cfRule type="containsBlanks" dxfId="1748" priority="139">
      <formula>LEN(TRIM(AK47))=0</formula>
    </cfRule>
  </conditionalFormatting>
  <conditionalFormatting sqref="AI47 AL47 AO47 AR47">
    <cfRule type="cellIs" dxfId="1747" priority="137" operator="lessThan">
      <formula>0.05</formula>
    </cfRule>
  </conditionalFormatting>
  <conditionalFormatting sqref="AJ47 AM47 AP47 AS47">
    <cfRule type="cellIs" dxfId="1746" priority="136" operator="lessThan">
      <formula>0.05</formula>
    </cfRule>
  </conditionalFormatting>
  <conditionalFormatting sqref="AU47:AZ47">
    <cfRule type="containsBlanks" dxfId="1745" priority="135">
      <formula>LEN(TRIM(AU47))=0</formula>
    </cfRule>
  </conditionalFormatting>
  <conditionalFormatting sqref="AU47:AZ47">
    <cfRule type="containsBlanks" dxfId="1744" priority="133">
      <formula>LEN(TRIM(AU47))=0</formula>
    </cfRule>
    <cfRule type="containsBlanks" dxfId="1743" priority="134">
      <formula>LEN(TRIM(AU47))=0</formula>
    </cfRule>
  </conditionalFormatting>
  <conditionalFormatting sqref="AW48">
    <cfRule type="containsBlanks" dxfId="1742" priority="132">
      <formula>LEN(TRIM(AW48))=0</formula>
    </cfRule>
  </conditionalFormatting>
  <conditionalFormatting sqref="AW48">
    <cfRule type="containsBlanks" dxfId="1741" priority="130">
      <formula>LEN(TRIM(AW48))=0</formula>
    </cfRule>
    <cfRule type="containsBlanks" dxfId="1740" priority="131">
      <formula>LEN(TRIM(AW48))=0</formula>
    </cfRule>
  </conditionalFormatting>
  <conditionalFormatting sqref="AU48">
    <cfRule type="cellIs" dxfId="1739" priority="129" operator="lessThan">
      <formula>0.05</formula>
    </cfRule>
  </conditionalFormatting>
  <conditionalFormatting sqref="AV48">
    <cfRule type="cellIs" dxfId="1738" priority="128" operator="lessThan">
      <formula>0.05</formula>
    </cfRule>
  </conditionalFormatting>
  <conditionalFormatting sqref="AZ48">
    <cfRule type="containsBlanks" dxfId="1737" priority="127">
      <formula>LEN(TRIM(AZ48))=0</formula>
    </cfRule>
  </conditionalFormatting>
  <conditionalFormatting sqref="AZ48">
    <cfRule type="containsBlanks" dxfId="1736" priority="125">
      <formula>LEN(TRIM(AZ48))=0</formula>
    </cfRule>
    <cfRule type="containsBlanks" dxfId="1735" priority="126">
      <formula>LEN(TRIM(AZ48))=0</formula>
    </cfRule>
  </conditionalFormatting>
  <conditionalFormatting sqref="AX48">
    <cfRule type="cellIs" dxfId="1734" priority="124" operator="lessThan">
      <formula>0.05</formula>
    </cfRule>
  </conditionalFormatting>
  <conditionalFormatting sqref="AY48">
    <cfRule type="cellIs" dxfId="1733" priority="123" operator="lessThan">
      <formula>0.05</formula>
    </cfRule>
  </conditionalFormatting>
  <conditionalFormatting sqref="AW49 AZ49">
    <cfRule type="containsBlanks" dxfId="1732" priority="122">
      <formula>LEN(TRIM(AW49))=0</formula>
    </cfRule>
  </conditionalFormatting>
  <conditionalFormatting sqref="AW49 AZ49">
    <cfRule type="containsBlanks" dxfId="1731" priority="120">
      <formula>LEN(TRIM(AW49))=0</formula>
    </cfRule>
    <cfRule type="containsBlanks" dxfId="1730" priority="121">
      <formula>LEN(TRIM(AW49))=0</formula>
    </cfRule>
  </conditionalFormatting>
  <conditionalFormatting sqref="AU49 AX49">
    <cfRule type="cellIs" dxfId="1729" priority="119" operator="lessThan">
      <formula>0.05</formula>
    </cfRule>
  </conditionalFormatting>
  <conditionalFormatting sqref="AV49 AY49">
    <cfRule type="cellIs" dxfId="1728" priority="118" operator="lessThan">
      <formula>0.05</formula>
    </cfRule>
  </conditionalFormatting>
  <conditionalFormatting sqref="V50 Y50 AB50 AE50 AH50 AK50 AN50 AQ50 AT50 AW50 AZ50">
    <cfRule type="containsBlanks" dxfId="1727" priority="117">
      <formula>LEN(TRIM(V50))=0</formula>
    </cfRule>
  </conditionalFormatting>
  <conditionalFormatting sqref="V50 Y50 AB50 AE50 AH50 AK50 AN50 AQ50 AT50 AW50 AZ50">
    <cfRule type="containsBlanks" dxfId="1726" priority="115">
      <formula>LEN(TRIM(V50))=0</formula>
    </cfRule>
    <cfRule type="containsBlanks" dxfId="1725" priority="116">
      <formula>LEN(TRIM(V50))=0</formula>
    </cfRule>
  </conditionalFormatting>
  <conditionalFormatting sqref="T50 W50 Z50 AC50 AF50 AI50 AL50 AO50 AR50 AU50 AX50">
    <cfRule type="cellIs" dxfId="1724" priority="114" operator="lessThan">
      <formula>0.05</formula>
    </cfRule>
  </conditionalFormatting>
  <conditionalFormatting sqref="U50 X50 AA50 AD50 AG50 AJ50 AM50 AP50 AS50 AV50 AY50">
    <cfRule type="cellIs" dxfId="1723" priority="113" operator="lessThan">
      <formula>0.05</formula>
    </cfRule>
  </conditionalFormatting>
  <conditionalFormatting sqref="AZ51">
    <cfRule type="containsBlanks" dxfId="1722" priority="112">
      <formula>LEN(TRIM(AZ51))=0</formula>
    </cfRule>
  </conditionalFormatting>
  <conditionalFormatting sqref="AZ51">
    <cfRule type="containsBlanks" dxfId="1721" priority="110">
      <formula>LEN(TRIM(AZ51))=0</formula>
    </cfRule>
    <cfRule type="containsBlanks" dxfId="1720" priority="111">
      <formula>LEN(TRIM(AZ51))=0</formula>
    </cfRule>
  </conditionalFormatting>
  <conditionalFormatting sqref="AX51">
    <cfRule type="cellIs" dxfId="1719" priority="109" operator="lessThan">
      <formula>0.05</formula>
    </cfRule>
  </conditionalFormatting>
  <conditionalFormatting sqref="AY51">
    <cfRule type="cellIs" dxfId="1718" priority="108" operator="lessThan">
      <formula>0.05</formula>
    </cfRule>
  </conditionalFormatting>
  <conditionalFormatting sqref="Q46:S46">
    <cfRule type="containsBlanks" dxfId="1717" priority="107">
      <formula>LEN(TRIM(Q46))=0</formula>
    </cfRule>
  </conditionalFormatting>
  <conditionalFormatting sqref="Q46:S46">
    <cfRule type="containsBlanks" dxfId="1716" priority="105">
      <formula>LEN(TRIM(Q46))=0</formula>
    </cfRule>
    <cfRule type="containsBlanks" dxfId="1715" priority="106">
      <formula>LEN(TRIM(Q46))=0</formula>
    </cfRule>
  </conditionalFormatting>
  <conditionalFormatting sqref="Q47:S48">
    <cfRule type="containsBlanks" dxfId="1714" priority="103">
      <formula>LEN(TRIM(Q47))=0</formula>
    </cfRule>
    <cfRule type="containsBlanks" dxfId="1713" priority="104">
      <formula>LEN(TRIM(Q47))=0</formula>
    </cfRule>
  </conditionalFormatting>
  <conditionalFormatting sqref="Q47:S48">
    <cfRule type="containsBlanks" dxfId="1712" priority="102">
      <formula>LEN(TRIM(Q47))=0</formula>
    </cfRule>
  </conditionalFormatting>
  <conditionalFormatting sqref="Q49:S49">
    <cfRule type="containsBlanks" dxfId="1711" priority="100">
      <formula>LEN(TRIM(Q49))=0</formula>
    </cfRule>
    <cfRule type="containsBlanks" dxfId="1710" priority="101">
      <formula>LEN(TRIM(Q49))=0</formula>
    </cfRule>
  </conditionalFormatting>
  <conditionalFormatting sqref="Q49:S49">
    <cfRule type="containsBlanks" dxfId="1709" priority="99">
      <formula>LEN(TRIM(Q49))=0</formula>
    </cfRule>
  </conditionalFormatting>
  <conditionalFormatting sqref="Q51:S51">
    <cfRule type="containsBlanks" dxfId="1708" priority="97">
      <formula>LEN(TRIM(Q51))=0</formula>
    </cfRule>
    <cfRule type="containsBlanks" dxfId="1707" priority="98">
      <formula>LEN(TRIM(Q51))=0</formula>
    </cfRule>
  </conditionalFormatting>
  <conditionalFormatting sqref="Q51:S51">
    <cfRule type="containsBlanks" dxfId="1706" priority="96">
      <formula>LEN(TRIM(Q51))=0</formula>
    </cfRule>
  </conditionalFormatting>
  <conditionalFormatting sqref="AT52">
    <cfRule type="containsBlanks" dxfId="1705" priority="95">
      <formula>LEN(TRIM(AT52))=0</formula>
    </cfRule>
  </conditionalFormatting>
  <conditionalFormatting sqref="AT52">
    <cfRule type="containsBlanks" dxfId="1704" priority="93">
      <formula>LEN(TRIM(AT52))=0</formula>
    </cfRule>
    <cfRule type="containsBlanks" dxfId="1703" priority="94">
      <formula>LEN(TRIM(AT52))=0</formula>
    </cfRule>
  </conditionalFormatting>
  <conditionalFormatting sqref="AR52">
    <cfRule type="cellIs" dxfId="1702" priority="92" operator="lessThan">
      <formula>0.05</formula>
    </cfRule>
  </conditionalFormatting>
  <conditionalFormatting sqref="AS52">
    <cfRule type="cellIs" dxfId="1701" priority="91" operator="lessThan">
      <formula>0.05</formula>
    </cfRule>
  </conditionalFormatting>
  <conditionalFormatting sqref="AW52 AZ52">
    <cfRule type="containsBlanks" dxfId="1700" priority="90">
      <formula>LEN(TRIM(AW52))=0</formula>
    </cfRule>
  </conditionalFormatting>
  <conditionalFormatting sqref="AW52 AZ52">
    <cfRule type="containsBlanks" dxfId="1699" priority="88">
      <formula>LEN(TRIM(AW52))=0</formula>
    </cfRule>
    <cfRule type="containsBlanks" dxfId="1698" priority="89">
      <formula>LEN(TRIM(AW52))=0</formula>
    </cfRule>
  </conditionalFormatting>
  <conditionalFormatting sqref="AU52 AX52">
    <cfRule type="cellIs" dxfId="1697" priority="87" operator="lessThan">
      <formula>0.05</formula>
    </cfRule>
  </conditionalFormatting>
  <conditionalFormatting sqref="AV52 AY52">
    <cfRule type="cellIs" dxfId="1696" priority="86" operator="lessThan">
      <formula>0.05</formula>
    </cfRule>
  </conditionalFormatting>
  <conditionalFormatting sqref="Q52:S52">
    <cfRule type="containsBlanks" dxfId="1695" priority="84">
      <formula>LEN(TRIM(Q52))=0</formula>
    </cfRule>
    <cfRule type="containsBlanks" dxfId="1694" priority="85">
      <formula>LEN(TRIM(Q52))=0</formula>
    </cfRule>
  </conditionalFormatting>
  <conditionalFormatting sqref="Q52:S52">
    <cfRule type="containsBlanks" dxfId="1693" priority="83">
      <formula>LEN(TRIM(Q52))=0</formula>
    </cfRule>
  </conditionalFormatting>
  <conditionalFormatting sqref="V53 Y53 AB53 AE53 AH53 AK53 AN53 AQ53 AT53 AW53 AZ53">
    <cfRule type="containsBlanks" dxfId="1692" priority="82">
      <formula>LEN(TRIM(V53))=0</formula>
    </cfRule>
  </conditionalFormatting>
  <conditionalFormatting sqref="V53 Y53 AB53 AE53 AH53 AK53 AN53 AQ53 AT53 AW53 AZ53">
    <cfRule type="containsBlanks" dxfId="1691" priority="80">
      <formula>LEN(TRIM(V53))=0</formula>
    </cfRule>
    <cfRule type="containsBlanks" dxfId="1690" priority="81">
      <formula>LEN(TRIM(V53))=0</formula>
    </cfRule>
  </conditionalFormatting>
  <conditionalFormatting sqref="T53 W53 Z53 AC53 AF53 AI53 AL53 AO53 AR53 AU53 AX53">
    <cfRule type="cellIs" dxfId="1689" priority="79" operator="lessThan">
      <formula>0.05</formula>
    </cfRule>
  </conditionalFormatting>
  <conditionalFormatting sqref="U53 X53 AA53 AD53 AG53 AJ53 AM53 AP53 AS53 AV53 AY53">
    <cfRule type="cellIs" dxfId="1688" priority="78" operator="lessThan">
      <formula>0.05</formula>
    </cfRule>
  </conditionalFormatting>
  <conditionalFormatting sqref="Y55">
    <cfRule type="containsBlanks" dxfId="1687" priority="72">
      <formula>LEN(TRIM(Y55))=0</formula>
    </cfRule>
  </conditionalFormatting>
  <conditionalFormatting sqref="Y55">
    <cfRule type="containsBlanks" dxfId="1686" priority="70">
      <formula>LEN(TRIM(Y55))=0</formula>
    </cfRule>
    <cfRule type="containsBlanks" dxfId="1685" priority="71">
      <formula>LEN(TRIM(Y55))=0</formula>
    </cfRule>
  </conditionalFormatting>
  <conditionalFormatting sqref="W55">
    <cfRule type="cellIs" dxfId="1684" priority="69" operator="lessThan">
      <formula>0.05</formula>
    </cfRule>
  </conditionalFormatting>
  <conditionalFormatting sqref="X55">
    <cfRule type="cellIs" dxfId="1683" priority="68" operator="lessThan">
      <formula>0.05</formula>
    </cfRule>
  </conditionalFormatting>
  <conditionalFormatting sqref="AT61 AW61 AZ61">
    <cfRule type="containsBlanks" dxfId="1682" priority="21">
      <formula>LEN(TRIM(AT61))=0</formula>
    </cfRule>
  </conditionalFormatting>
  <conditionalFormatting sqref="AB55 AE55 AH55 AK55 AN55 AQ55 AT55 AW55 AZ55">
    <cfRule type="containsBlanks" dxfId="1681" priority="65">
      <formula>LEN(TRIM(AB55))=0</formula>
    </cfRule>
    <cfRule type="containsBlanks" dxfId="1680" priority="66">
      <formula>LEN(TRIM(AB55))=0</formula>
    </cfRule>
  </conditionalFormatting>
  <conditionalFormatting sqref="Z55 AC55 AF55 AI55 AL55 AO55 AR55 AU55 AX55">
    <cfRule type="cellIs" dxfId="1679" priority="64" operator="lessThan">
      <formula>0.05</formula>
    </cfRule>
  </conditionalFormatting>
  <conditionalFormatting sqref="AS61 AV61 AY61">
    <cfRule type="cellIs" dxfId="1678" priority="17" operator="lessThan">
      <formula>0.05</formula>
    </cfRule>
  </conditionalFormatting>
  <conditionalFormatting sqref="Q55:S55">
    <cfRule type="containsBlanks" dxfId="1677" priority="61">
      <formula>LEN(TRIM(Q55))=0</formula>
    </cfRule>
    <cfRule type="containsBlanks" dxfId="1676" priority="62">
      <formula>LEN(TRIM(Q55))=0</formula>
    </cfRule>
  </conditionalFormatting>
  <conditionalFormatting sqref="Q61:S61">
    <cfRule type="containsBlanks" dxfId="1675" priority="14">
      <formula>LEN(TRIM(Q61))=0</formula>
    </cfRule>
  </conditionalFormatting>
  <conditionalFormatting sqref="V56 Y56 AB56 AE56 AH56 AK56">
    <cfRule type="containsBlanks" dxfId="1674" priority="59">
      <formula>LEN(TRIM(V56))=0</formula>
    </cfRule>
  </conditionalFormatting>
  <conditionalFormatting sqref="V56 Y56 AB56 AE56 AH56 AK56">
    <cfRule type="containsBlanks" dxfId="1673" priority="57">
      <formula>LEN(TRIM(V56))=0</formula>
    </cfRule>
    <cfRule type="containsBlanks" dxfId="1672" priority="58">
      <formula>LEN(TRIM(V56))=0</formula>
    </cfRule>
  </conditionalFormatting>
  <conditionalFormatting sqref="T56 W56 Z56 AC56 AF56 AI56">
    <cfRule type="cellIs" dxfId="1671" priority="56" operator="lessThan">
      <formula>0.05</formula>
    </cfRule>
  </conditionalFormatting>
  <conditionalFormatting sqref="U56 X56 AA56 AD56 AG56 AJ56">
    <cfRule type="cellIs" dxfId="1670" priority="55" operator="lessThan">
      <formula>0.05</formula>
    </cfRule>
  </conditionalFormatting>
  <conditionalFormatting sqref="Q56:S56">
    <cfRule type="containsBlanks" dxfId="1669" priority="53">
      <formula>LEN(TRIM(Q56))=0</formula>
    </cfRule>
    <cfRule type="containsBlanks" dxfId="1668" priority="54">
      <formula>LEN(TRIM(Q56))=0</formula>
    </cfRule>
  </conditionalFormatting>
  <conditionalFormatting sqref="Q56:S56">
    <cfRule type="containsBlanks" dxfId="1667" priority="52">
      <formula>LEN(TRIM(Q56))=0</formula>
    </cfRule>
  </conditionalFormatting>
  <conditionalFormatting sqref="K60">
    <cfRule type="containsBlanks" dxfId="1666" priority="51">
      <formula>LEN(TRIM(K60))=0</formula>
    </cfRule>
  </conditionalFormatting>
  <conditionalFormatting sqref="K60">
    <cfRule type="containsBlanks" dxfId="1665" priority="50">
      <formula>LEN(TRIM(K60))=0</formula>
    </cfRule>
  </conditionalFormatting>
  <conditionalFormatting sqref="AF60 AI60 AL60 AO60 AR60 AU60 AX60">
    <cfRule type="cellIs" dxfId="1664" priority="26" operator="lessThan">
      <formula>0.05</formula>
    </cfRule>
  </conditionalFormatting>
  <conditionalFormatting sqref="AE57:AE59">
    <cfRule type="containsBlanks" dxfId="1663" priority="44">
      <formula>LEN(TRIM(AE57))=0</formula>
    </cfRule>
  </conditionalFormatting>
  <conditionalFormatting sqref="AE57:AE59">
    <cfRule type="containsBlanks" dxfId="1662" priority="42">
      <formula>LEN(TRIM(AE57))=0</formula>
    </cfRule>
    <cfRule type="containsBlanks" dxfId="1661" priority="43">
      <formula>LEN(TRIM(AE57))=0</formula>
    </cfRule>
  </conditionalFormatting>
  <conditionalFormatting sqref="AC57:AC59">
    <cfRule type="cellIs" dxfId="1660" priority="41" operator="lessThan">
      <formula>0.05</formula>
    </cfRule>
  </conditionalFormatting>
  <conditionalFormatting sqref="AD57:AD59">
    <cfRule type="cellIs" dxfId="1659" priority="40" operator="lessThan">
      <formula>0.05</formula>
    </cfRule>
  </conditionalFormatting>
  <conditionalFormatting sqref="AE60">
    <cfRule type="containsBlanks" dxfId="1658" priority="39">
      <formula>LEN(TRIM(AE60))=0</formula>
    </cfRule>
  </conditionalFormatting>
  <conditionalFormatting sqref="AE60">
    <cfRule type="containsBlanks" dxfId="1657" priority="37">
      <formula>LEN(TRIM(AE60))=0</formula>
    </cfRule>
    <cfRule type="containsBlanks" dxfId="1656" priority="38">
      <formula>LEN(TRIM(AE60))=0</formula>
    </cfRule>
  </conditionalFormatting>
  <conditionalFormatting sqref="AC60">
    <cfRule type="cellIs" dxfId="1655" priority="36" operator="lessThan">
      <formula>0.05</formula>
    </cfRule>
  </conditionalFormatting>
  <conditionalFormatting sqref="AD60">
    <cfRule type="cellIs" dxfId="1654" priority="35" operator="lessThan">
      <formula>0.05</formula>
    </cfRule>
  </conditionalFormatting>
  <conditionalFormatting sqref="AH57:AH59 AK57:AK59 AN57:AN59 AQ57:AQ59 AT57:AT59 AW57:AW59 AZ57:AZ59">
    <cfRule type="containsBlanks" dxfId="1653" priority="34">
      <formula>LEN(TRIM(AH57))=0</formula>
    </cfRule>
  </conditionalFormatting>
  <conditionalFormatting sqref="AH57:AH59 AK57:AK59 AN57:AN59 AQ57:AQ59 AT57:AT59 AW57:AW59 AZ57:AZ59">
    <cfRule type="containsBlanks" dxfId="1652" priority="32">
      <formula>LEN(TRIM(AH57))=0</formula>
    </cfRule>
    <cfRule type="containsBlanks" dxfId="1651" priority="33">
      <formula>LEN(TRIM(AH57))=0</formula>
    </cfRule>
  </conditionalFormatting>
  <conditionalFormatting sqref="AF57:AF59 AI57:AI59 AL57:AL59 AO57:AO59 AR57:AR59 AU57:AU59 AX57:AX59">
    <cfRule type="cellIs" dxfId="1650" priority="31" operator="lessThan">
      <formula>0.05</formula>
    </cfRule>
  </conditionalFormatting>
  <conditionalFormatting sqref="AG57:AG59 AJ57:AJ59 AM57:AM59 AP57:AP59 AS57:AS59 AV57:AV59 AY57:AY59">
    <cfRule type="cellIs" dxfId="1649" priority="30" operator="lessThan">
      <formula>0.05</formula>
    </cfRule>
  </conditionalFormatting>
  <conditionalFormatting sqref="AH60 AK60 AN60 AQ60 AT60 AW60 AZ60">
    <cfRule type="containsBlanks" dxfId="1648" priority="29">
      <formula>LEN(TRIM(AH60))=0</formula>
    </cfRule>
  </conditionalFormatting>
  <conditionalFormatting sqref="AH60 AK60 AN60 AQ60 AT60 AW60 AZ60">
    <cfRule type="containsBlanks" dxfId="1647" priority="27">
      <formula>LEN(TRIM(AH60))=0</formula>
    </cfRule>
    <cfRule type="containsBlanks" dxfId="1646" priority="28">
      <formula>LEN(TRIM(AH60))=0</formula>
    </cfRule>
  </conditionalFormatting>
  <conditionalFormatting sqref="AG60 AJ60 AM60 AP60 AS60 AV60 AY60">
    <cfRule type="cellIs" dxfId="1645" priority="25" operator="lessThan">
      <formula>0.05</formula>
    </cfRule>
  </conditionalFormatting>
  <conditionalFormatting sqref="Q57:S60">
    <cfRule type="containsBlanks" dxfId="1644" priority="23">
      <formula>LEN(TRIM(Q57))=0</formula>
    </cfRule>
    <cfRule type="containsBlanks" dxfId="1643" priority="24">
      <formula>LEN(TRIM(Q57))=0</formula>
    </cfRule>
  </conditionalFormatting>
  <conditionalFormatting sqref="Q57:S60">
    <cfRule type="containsBlanks" dxfId="1642" priority="22">
      <formula>LEN(TRIM(Q57))=0</formula>
    </cfRule>
  </conditionalFormatting>
  <conditionalFormatting sqref="AT61 AW61 AZ61">
    <cfRule type="containsBlanks" dxfId="1641" priority="19">
      <formula>LEN(TRIM(AT61))=0</formula>
    </cfRule>
    <cfRule type="containsBlanks" dxfId="1640" priority="20">
      <formula>LEN(TRIM(AT61))=0</formula>
    </cfRule>
  </conditionalFormatting>
  <conditionalFormatting sqref="AR61 AU61 AX61">
    <cfRule type="cellIs" dxfId="1639" priority="18" operator="lessThan">
      <formula>0.05</formula>
    </cfRule>
  </conditionalFormatting>
  <conditionalFormatting sqref="Q61:S61">
    <cfRule type="containsBlanks" dxfId="1638" priority="15">
      <formula>LEN(TRIM(Q61))=0</formula>
    </cfRule>
    <cfRule type="containsBlanks" dxfId="1637" priority="16">
      <formula>LEN(TRIM(Q61))=0</formula>
    </cfRule>
  </conditionalFormatting>
  <conditionalFormatting sqref="AW62:AW70 AZ62:AZ70">
    <cfRule type="containsBlanks" dxfId="1636" priority="13">
      <formula>LEN(TRIM(AW62))=0</formula>
    </cfRule>
  </conditionalFormatting>
  <conditionalFormatting sqref="AW62:AW70 AZ62:AZ70">
    <cfRule type="containsBlanks" dxfId="1635" priority="11">
      <formula>LEN(TRIM(AW62))=0</formula>
    </cfRule>
    <cfRule type="containsBlanks" dxfId="1634" priority="12">
      <formula>LEN(TRIM(AW62))=0</formula>
    </cfRule>
  </conditionalFormatting>
  <conditionalFormatting sqref="AU62:AU70 AX62:AX70">
    <cfRule type="cellIs" dxfId="1633" priority="10" operator="lessThan">
      <formula>0.05</formula>
    </cfRule>
  </conditionalFormatting>
  <conditionalFormatting sqref="AV62:AV70 AY62:AY70">
    <cfRule type="cellIs" dxfId="1632" priority="9" operator="lessThan">
      <formula>0.05</formula>
    </cfRule>
  </conditionalFormatting>
  <conditionalFormatting sqref="Q62:S70">
    <cfRule type="containsBlanks" dxfId="1631" priority="7">
      <formula>LEN(TRIM(Q62))=0</formula>
    </cfRule>
    <cfRule type="containsBlanks" dxfId="1630" priority="8">
      <formula>LEN(TRIM(Q62))=0</formula>
    </cfRule>
  </conditionalFormatting>
  <conditionalFormatting sqref="Q62:S70">
    <cfRule type="containsBlanks" dxfId="1629" priority="6">
      <formula>LEN(TRIM(Q62))=0</formula>
    </cfRule>
  </conditionalFormatting>
  <conditionalFormatting sqref="V54 Y54 AB54 AE54 AH54 AK54 AN54 AQ54 AT54 AW54 AZ54">
    <cfRule type="containsBlanks" dxfId="1628" priority="5">
      <formula>LEN(TRIM(V54))=0</formula>
    </cfRule>
  </conditionalFormatting>
  <conditionalFormatting sqref="V54 Y54 AB54 AE54 AH54 AK54 AN54 AQ54 AT54 AW54 AZ54">
    <cfRule type="containsBlanks" dxfId="1627" priority="3">
      <formula>LEN(TRIM(V54))=0</formula>
    </cfRule>
    <cfRule type="containsBlanks" dxfId="1626" priority="4">
      <formula>LEN(TRIM(V54))=0</formula>
    </cfRule>
  </conditionalFormatting>
  <conditionalFormatting sqref="T54 W54 Z54 AC54 AF54 AI54 AL54 AO54 AR54 AU54 AX54">
    <cfRule type="cellIs" dxfId="1625" priority="2" operator="lessThan">
      <formula>0.05</formula>
    </cfRule>
  </conditionalFormatting>
  <conditionalFormatting sqref="U54 X54 AA54 AD54 AG54 AJ54 AM54 AP54 AS54 AV54 AY54">
    <cfRule type="cellIs" dxfId="1624" priority="1" operator="lessThan">
      <formula>0.05</formula>
    </cfRule>
  </conditionalFormatting>
  <pageMargins left="0.23622047244094491" right="0.23622047244094491" top="0.74803149606299213" bottom="0.74803149606299213" header="0.31496062992125984" footer="0.31496062992125984"/>
  <pageSetup paperSize="9" scale="65" orientation="landscape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H108"/>
  <sheetViews>
    <sheetView zoomScaleNormal="100" workbookViewId="0">
      <pane xSplit="2" ySplit="1" topLeftCell="AL26" activePane="bottomRight" state="frozen"/>
      <selection pane="topRight" activeCell="C1" sqref="C1"/>
      <selection pane="bottomLeft" activeCell="A2" sqref="A2"/>
      <selection pane="bottomRight" activeCell="BG13" sqref="BG13"/>
    </sheetView>
  </sheetViews>
  <sheetFormatPr defaultRowHeight="14.4" x14ac:dyDescent="0.3"/>
  <cols>
    <col min="1" max="1" width="34" customWidth="1"/>
    <col min="2" max="2" width="11.5546875" customWidth="1"/>
    <col min="3" max="3" width="46.109375" customWidth="1"/>
    <col min="4" max="4" width="8.33203125" style="169" customWidth="1"/>
    <col min="5" max="5" width="40.88671875" bestFit="1" customWidth="1"/>
    <col min="6" max="6" width="11.5546875" style="169" bestFit="1" customWidth="1"/>
    <col min="7" max="10" width="10.33203125" customWidth="1"/>
    <col min="11" max="11" width="21.33203125" customWidth="1"/>
    <col min="12" max="13" width="10.109375" bestFit="1" customWidth="1"/>
    <col min="14" max="14" width="7.33203125" customWidth="1"/>
    <col min="15" max="15" width="6.44140625" customWidth="1"/>
    <col min="16" max="17" width="7.44140625" customWidth="1"/>
    <col min="18" max="18" width="11.5546875" customWidth="1"/>
    <col min="19" max="54" width="8.5546875" customWidth="1"/>
    <col min="55" max="55" width="9.88671875" bestFit="1" customWidth="1"/>
    <col min="56" max="56" width="12.33203125" customWidth="1"/>
    <col min="57" max="57" width="9.6640625" bestFit="1" customWidth="1"/>
    <col min="58" max="58" width="9.6640625" customWidth="1"/>
    <col min="59" max="59" width="14.5546875" bestFit="1" customWidth="1"/>
    <col min="60" max="60" width="9.5546875" bestFit="1" customWidth="1"/>
  </cols>
  <sheetData>
    <row r="1" spans="1:60" ht="15" customHeight="1" thickBot="1" x14ac:dyDescent="0.4">
      <c r="A1" s="36" t="s">
        <v>25</v>
      </c>
      <c r="S1" s="565">
        <v>44197</v>
      </c>
      <c r="T1" s="566"/>
      <c r="U1" s="567"/>
      <c r="V1" s="542">
        <v>44228</v>
      </c>
      <c r="W1" s="543"/>
      <c r="X1" s="544"/>
      <c r="Y1" s="565">
        <v>44256</v>
      </c>
      <c r="Z1" s="566"/>
      <c r="AA1" s="567"/>
      <c r="AB1" s="542">
        <v>44287</v>
      </c>
      <c r="AC1" s="543"/>
      <c r="AD1" s="544"/>
      <c r="AE1" s="565">
        <v>44317</v>
      </c>
      <c r="AF1" s="566"/>
      <c r="AG1" s="567"/>
      <c r="AH1" s="542">
        <v>44348</v>
      </c>
      <c r="AI1" s="543"/>
      <c r="AJ1" s="544"/>
      <c r="AK1" s="565">
        <v>44378</v>
      </c>
      <c r="AL1" s="566"/>
      <c r="AM1" s="567"/>
      <c r="AN1" s="542">
        <v>44409</v>
      </c>
      <c r="AO1" s="543"/>
      <c r="AP1" s="544"/>
      <c r="AQ1" s="565">
        <v>44440</v>
      </c>
      <c r="AR1" s="566"/>
      <c r="AS1" s="567"/>
      <c r="AT1" s="542">
        <v>44470</v>
      </c>
      <c r="AU1" s="543"/>
      <c r="AV1" s="544"/>
      <c r="AW1" s="565">
        <v>44501</v>
      </c>
      <c r="AX1" s="566"/>
      <c r="AY1" s="567"/>
      <c r="AZ1" s="542">
        <v>44531</v>
      </c>
      <c r="BA1" s="543"/>
      <c r="BB1" s="544"/>
      <c r="BD1" s="100" t="s">
        <v>44</v>
      </c>
      <c r="BE1" s="101" t="s">
        <v>45</v>
      </c>
      <c r="BF1" s="290" t="s">
        <v>110</v>
      </c>
      <c r="BG1" s="102" t="s">
        <v>46</v>
      </c>
      <c r="BH1" s="270" t="s">
        <v>119</v>
      </c>
    </row>
    <row r="2" spans="1:60" ht="15" customHeight="1" x14ac:dyDescent="0.3">
      <c r="A2" s="292" t="s">
        <v>7</v>
      </c>
      <c r="B2" s="296">
        <v>5102</v>
      </c>
      <c r="C2" s="299" t="s">
        <v>111</v>
      </c>
      <c r="R2" s="38" t="s">
        <v>7</v>
      </c>
      <c r="S2" s="90">
        <f t="shared" ref="S2:AB9" si="0">SUMIF($R$14:$R$179,$R2,S$14:S$179)</f>
        <v>0.35</v>
      </c>
      <c r="T2" s="91">
        <f t="shared" si="0"/>
        <v>58.8</v>
      </c>
      <c r="U2" s="40">
        <f t="shared" si="0"/>
        <v>14406.204761904763</v>
      </c>
      <c r="V2" s="92">
        <f t="shared" si="0"/>
        <v>0.35</v>
      </c>
      <c r="W2" s="93">
        <f t="shared" si="0"/>
        <v>52</v>
      </c>
      <c r="X2" s="43">
        <f t="shared" si="0"/>
        <v>14406.204761904763</v>
      </c>
      <c r="Y2" s="90">
        <f t="shared" si="0"/>
        <v>0.39999999999999997</v>
      </c>
      <c r="Z2" s="91">
        <f t="shared" si="0"/>
        <v>73.200000000000017</v>
      </c>
      <c r="AA2" s="40">
        <f t="shared" si="0"/>
        <v>17024.204761904763</v>
      </c>
      <c r="AB2" s="92">
        <f t="shared" si="0"/>
        <v>0.39999999999999997</v>
      </c>
      <c r="AC2" s="93">
        <f t="shared" ref="AC2:AL9" si="1">SUMIF($R$14:$R$179,$R2,AC$14:AC$179)</f>
        <v>69.599999999999994</v>
      </c>
      <c r="AD2" s="43">
        <f t="shared" si="1"/>
        <v>17024.204761904763</v>
      </c>
      <c r="AE2" s="90">
        <f t="shared" si="1"/>
        <v>0.39999999999999997</v>
      </c>
      <c r="AF2" s="91">
        <f t="shared" si="1"/>
        <v>66.8</v>
      </c>
      <c r="AG2" s="40">
        <f t="shared" si="1"/>
        <v>17024.204761904763</v>
      </c>
      <c r="AH2" s="92">
        <f t="shared" si="1"/>
        <v>0.39999999999999997</v>
      </c>
      <c r="AI2" s="93">
        <f t="shared" si="1"/>
        <v>65.2</v>
      </c>
      <c r="AJ2" s="43">
        <f t="shared" si="1"/>
        <v>17024.204761904763</v>
      </c>
      <c r="AK2" s="90">
        <f t="shared" si="1"/>
        <v>0.39999999999999997</v>
      </c>
      <c r="AL2" s="91">
        <f t="shared" si="1"/>
        <v>59.7</v>
      </c>
      <c r="AM2" s="40">
        <f t="shared" ref="AM2:AV9" si="2">SUMIF($R$14:$R$179,$R2,AM$14:AM$179)</f>
        <v>17024.204761904763</v>
      </c>
      <c r="AN2" s="92">
        <f t="shared" si="2"/>
        <v>0.39999999999999997</v>
      </c>
      <c r="AO2" s="93">
        <f t="shared" si="2"/>
        <v>59.1</v>
      </c>
      <c r="AP2" s="43">
        <f t="shared" si="2"/>
        <v>17066.754761904762</v>
      </c>
      <c r="AQ2" s="90">
        <f t="shared" si="2"/>
        <v>0.39999999999999997</v>
      </c>
      <c r="AR2" s="91">
        <f t="shared" si="2"/>
        <v>64.400000000000006</v>
      </c>
      <c r="AS2" s="40">
        <f t="shared" si="2"/>
        <v>17066.754761904762</v>
      </c>
      <c r="AT2" s="92">
        <f t="shared" si="2"/>
        <v>0.39999999999999997</v>
      </c>
      <c r="AU2" s="93">
        <f t="shared" si="2"/>
        <v>67.2</v>
      </c>
      <c r="AV2" s="43">
        <f t="shared" si="2"/>
        <v>17066.754761904762</v>
      </c>
      <c r="AW2" s="90">
        <f t="shared" ref="AW2:BB9" si="3">SUMIF($R$14:$R$179,$R2,AW$14:AW$179)</f>
        <v>0.39999999999999997</v>
      </c>
      <c r="AX2" s="91">
        <f t="shared" si="3"/>
        <v>70.399999999999991</v>
      </c>
      <c r="AY2" s="40">
        <f t="shared" si="3"/>
        <v>17066.754761904762</v>
      </c>
      <c r="AZ2" s="92">
        <f t="shared" si="3"/>
        <v>0.39999999999999997</v>
      </c>
      <c r="BA2" s="93">
        <f t="shared" si="3"/>
        <v>73.600000000000009</v>
      </c>
      <c r="BB2" s="43">
        <f t="shared" si="3"/>
        <v>17066.754761904762</v>
      </c>
      <c r="BD2" s="389">
        <f>SUM(U2,X2,AA2,AD2,AG2,AJ2,AM2,AP2,AS2,AV2,AY2,BB2)</f>
        <v>199267.20714285719</v>
      </c>
      <c r="BE2" s="390">
        <f t="shared" ref="BE2:BE9" si="4">0.338*(SUMIFS(BC:BC,F:F,"HPP",R:R, BH2)+SUMIFS(BC:BC,F:F,"DPČ",R:R, BH2))</f>
        <v>67352.316014285723</v>
      </c>
      <c r="BF2" s="390">
        <f t="shared" ref="BF2:BF9" si="5">0.02*SUMIFS(BC:BC,F:F,"HPP",R:R, BH2)</f>
        <v>3985.3441428571427</v>
      </c>
      <c r="BG2" s="391">
        <f>SUM(BD2:BF2)</f>
        <v>270604.86730000004</v>
      </c>
      <c r="BH2" s="62" t="s">
        <v>7</v>
      </c>
    </row>
    <row r="3" spans="1:60" ht="15" customHeight="1" x14ac:dyDescent="0.3">
      <c r="A3" s="293" t="s">
        <v>6</v>
      </c>
      <c r="B3" s="297">
        <v>5106</v>
      </c>
      <c r="C3" s="300" t="s">
        <v>112</v>
      </c>
      <c r="R3" s="39" t="s">
        <v>6</v>
      </c>
      <c r="S3" s="88">
        <f t="shared" si="0"/>
        <v>3801.55</v>
      </c>
      <c r="T3" s="60">
        <f t="shared" si="0"/>
        <v>389.40000000000003</v>
      </c>
      <c r="U3" s="41">
        <f t="shared" si="0"/>
        <v>137696.95000000001</v>
      </c>
      <c r="V3" s="94">
        <f t="shared" si="0"/>
        <v>4551.55</v>
      </c>
      <c r="W3" s="61">
        <f t="shared" si="0"/>
        <v>420</v>
      </c>
      <c r="X3" s="44">
        <f t="shared" si="0"/>
        <v>152459.95000000001</v>
      </c>
      <c r="Y3" s="88">
        <f t="shared" si="0"/>
        <v>4551.8999999999996</v>
      </c>
      <c r="Z3" s="60">
        <f t="shared" si="0"/>
        <v>527</v>
      </c>
      <c r="AA3" s="41">
        <f t="shared" si="0"/>
        <v>168654.95</v>
      </c>
      <c r="AB3" s="94">
        <f t="shared" si="0"/>
        <v>4551.8999999999996</v>
      </c>
      <c r="AC3" s="61">
        <f t="shared" si="1"/>
        <v>513.40000000000009</v>
      </c>
      <c r="AD3" s="44">
        <f t="shared" si="1"/>
        <v>168670.95</v>
      </c>
      <c r="AE3" s="88">
        <f t="shared" si="1"/>
        <v>4551.8999999999996</v>
      </c>
      <c r="AF3" s="60">
        <f t="shared" si="1"/>
        <v>494.6</v>
      </c>
      <c r="AG3" s="41">
        <f t="shared" si="1"/>
        <v>168671.14047619049</v>
      </c>
      <c r="AH3" s="94">
        <f t="shared" si="1"/>
        <v>5051.8999999999996</v>
      </c>
      <c r="AI3" s="61">
        <f t="shared" si="1"/>
        <v>497</v>
      </c>
      <c r="AJ3" s="44">
        <f t="shared" si="1"/>
        <v>178671.14047619049</v>
      </c>
      <c r="AK3" s="88">
        <f t="shared" si="1"/>
        <v>5051.8999999999996</v>
      </c>
      <c r="AL3" s="60">
        <f t="shared" si="1"/>
        <v>494.2</v>
      </c>
      <c r="AM3" s="41">
        <f t="shared" si="2"/>
        <v>178671.14047619049</v>
      </c>
      <c r="AN3" s="94">
        <f t="shared" si="2"/>
        <v>5301.9</v>
      </c>
      <c r="AO3" s="61">
        <f t="shared" si="2"/>
        <v>520.29999999999995</v>
      </c>
      <c r="AP3" s="44">
        <f t="shared" si="2"/>
        <v>183546.14047619049</v>
      </c>
      <c r="AQ3" s="88">
        <f t="shared" si="2"/>
        <v>4301.8999999999996</v>
      </c>
      <c r="AR3" s="60">
        <f t="shared" si="2"/>
        <v>437.40000000000003</v>
      </c>
      <c r="AS3" s="41">
        <f t="shared" si="2"/>
        <v>158671.14047619049</v>
      </c>
      <c r="AT3" s="94">
        <f t="shared" si="2"/>
        <v>4301.8999999999996</v>
      </c>
      <c r="AU3" s="61">
        <f t="shared" si="2"/>
        <v>458.20000000000005</v>
      </c>
      <c r="AV3" s="44">
        <f t="shared" si="2"/>
        <v>158671.14047619049</v>
      </c>
      <c r="AW3" s="88">
        <f t="shared" si="3"/>
        <v>4501.55</v>
      </c>
      <c r="AX3" s="60">
        <f t="shared" si="3"/>
        <v>412.8</v>
      </c>
      <c r="AY3" s="41">
        <f t="shared" si="3"/>
        <v>143327.29047619048</v>
      </c>
      <c r="AZ3" s="94">
        <f t="shared" si="3"/>
        <v>5001.55</v>
      </c>
      <c r="BA3" s="61">
        <f t="shared" si="3"/>
        <v>435.2</v>
      </c>
      <c r="BB3" s="44">
        <f t="shared" si="3"/>
        <v>148327.29047619048</v>
      </c>
      <c r="BD3" s="286">
        <f t="shared" ref="BD3:BD6" si="6">SUM(U3,X3,AA3,AD3,AG3,AJ3,AM3,AP3,AS3,AV3,AY3,BB3)</f>
        <v>1946039.2238095237</v>
      </c>
      <c r="BE3" s="287">
        <f t="shared" si="4"/>
        <v>346167.50764761906</v>
      </c>
      <c r="BF3" s="287">
        <f t="shared" si="5"/>
        <v>20483.284476190478</v>
      </c>
      <c r="BG3" s="288">
        <f t="shared" ref="BG3:BG7" si="7">SUM(BD3:BF3)</f>
        <v>2312690.015933333</v>
      </c>
      <c r="BH3" s="63" t="s">
        <v>6</v>
      </c>
    </row>
    <row r="4" spans="1:60" ht="15" customHeight="1" x14ac:dyDescent="0.3">
      <c r="A4" s="293" t="s">
        <v>9</v>
      </c>
      <c r="B4" s="297">
        <v>5108</v>
      </c>
      <c r="C4" s="300" t="s">
        <v>113</v>
      </c>
      <c r="R4" s="39" t="s">
        <v>9</v>
      </c>
      <c r="S4" s="88">
        <f t="shared" si="0"/>
        <v>471.25</v>
      </c>
      <c r="T4" s="60">
        <f t="shared" si="0"/>
        <v>399.00000000000006</v>
      </c>
      <c r="U4" s="41">
        <f t="shared" si="0"/>
        <v>100001.16190476192</v>
      </c>
      <c r="V4" s="94">
        <f t="shared" si="0"/>
        <v>471.25</v>
      </c>
      <c r="W4" s="61">
        <f t="shared" si="0"/>
        <v>360.2</v>
      </c>
      <c r="X4" s="44">
        <f t="shared" si="0"/>
        <v>100001.16190476192</v>
      </c>
      <c r="Y4" s="88">
        <f t="shared" si="0"/>
        <v>2.4500000000000002</v>
      </c>
      <c r="Z4" s="60">
        <f t="shared" si="0"/>
        <v>446.8</v>
      </c>
      <c r="AA4" s="41">
        <f t="shared" si="0"/>
        <v>103282.02857142859</v>
      </c>
      <c r="AB4" s="94">
        <f t="shared" si="0"/>
        <v>2.4500000000000002</v>
      </c>
      <c r="AC4" s="61">
        <f t="shared" si="1"/>
        <v>431.2</v>
      </c>
      <c r="AD4" s="44">
        <f t="shared" si="1"/>
        <v>103282.02857142859</v>
      </c>
      <c r="AE4" s="88">
        <f t="shared" si="1"/>
        <v>2.4500000000000002</v>
      </c>
      <c r="AF4" s="60">
        <f t="shared" si="1"/>
        <v>403.20000000000005</v>
      </c>
      <c r="AG4" s="41">
        <f t="shared" si="1"/>
        <v>103282.02857142859</v>
      </c>
      <c r="AH4" s="94">
        <f t="shared" si="1"/>
        <v>2.4500000000000002</v>
      </c>
      <c r="AI4" s="61">
        <f t="shared" si="1"/>
        <v>396.40000000000003</v>
      </c>
      <c r="AJ4" s="44">
        <f t="shared" si="1"/>
        <v>103282.02857142859</v>
      </c>
      <c r="AK4" s="88">
        <f t="shared" si="1"/>
        <v>2.4500000000000002</v>
      </c>
      <c r="AL4" s="60">
        <f t="shared" si="1"/>
        <v>369.6</v>
      </c>
      <c r="AM4" s="41">
        <f t="shared" si="2"/>
        <v>103282.02857142859</v>
      </c>
      <c r="AN4" s="94">
        <f t="shared" si="2"/>
        <v>2.4500000000000002</v>
      </c>
      <c r="AO4" s="61">
        <f t="shared" si="2"/>
        <v>329.2</v>
      </c>
      <c r="AP4" s="44">
        <f t="shared" si="2"/>
        <v>103282.02857142859</v>
      </c>
      <c r="AQ4" s="88">
        <f t="shared" si="2"/>
        <v>2.4500000000000002</v>
      </c>
      <c r="AR4" s="60">
        <f t="shared" si="2"/>
        <v>385.19999999999993</v>
      </c>
      <c r="AS4" s="41">
        <f t="shared" si="2"/>
        <v>103282.02857142859</v>
      </c>
      <c r="AT4" s="94">
        <f t="shared" si="2"/>
        <v>2.4500000000000002</v>
      </c>
      <c r="AU4" s="61">
        <f t="shared" si="2"/>
        <v>411.6</v>
      </c>
      <c r="AV4" s="44">
        <f t="shared" si="2"/>
        <v>103282.02857142859</v>
      </c>
      <c r="AW4" s="88">
        <f t="shared" si="3"/>
        <v>2.4500000000000002</v>
      </c>
      <c r="AX4" s="60">
        <f t="shared" si="3"/>
        <v>431.2</v>
      </c>
      <c r="AY4" s="41">
        <f t="shared" si="3"/>
        <v>103282.02857142859</v>
      </c>
      <c r="AZ4" s="94">
        <f t="shared" si="3"/>
        <v>2.4500000000000002</v>
      </c>
      <c r="BA4" s="61">
        <f t="shared" si="3"/>
        <v>450.8</v>
      </c>
      <c r="BB4" s="44">
        <f t="shared" si="3"/>
        <v>103282.02857142859</v>
      </c>
      <c r="BD4" s="286">
        <f t="shared" si="6"/>
        <v>1232822.6095238097</v>
      </c>
      <c r="BE4" s="287">
        <f t="shared" si="4"/>
        <v>410036.11801904766</v>
      </c>
      <c r="BF4" s="287">
        <f t="shared" si="5"/>
        <v>24262.49219047619</v>
      </c>
      <c r="BG4" s="288">
        <f t="shared" si="7"/>
        <v>1667121.2197333337</v>
      </c>
      <c r="BH4" s="63" t="s">
        <v>9</v>
      </c>
    </row>
    <row r="5" spans="1:60" ht="15" customHeight="1" x14ac:dyDescent="0.3">
      <c r="A5" s="293" t="s">
        <v>8</v>
      </c>
      <c r="B5" s="297">
        <v>5107</v>
      </c>
      <c r="C5" s="300" t="s">
        <v>114</v>
      </c>
      <c r="R5" s="39" t="s">
        <v>8</v>
      </c>
      <c r="S5" s="88">
        <f t="shared" si="0"/>
        <v>500</v>
      </c>
      <c r="T5" s="60">
        <f t="shared" si="0"/>
        <v>35</v>
      </c>
      <c r="U5" s="41">
        <f t="shared" si="0"/>
        <v>17500</v>
      </c>
      <c r="V5" s="94">
        <f t="shared" si="0"/>
        <v>500</v>
      </c>
      <c r="W5" s="61">
        <f t="shared" si="0"/>
        <v>35</v>
      </c>
      <c r="X5" s="44">
        <f t="shared" si="0"/>
        <v>17500</v>
      </c>
      <c r="Y5" s="88">
        <f t="shared" si="0"/>
        <v>500</v>
      </c>
      <c r="Z5" s="60">
        <f t="shared" si="0"/>
        <v>35</v>
      </c>
      <c r="AA5" s="41">
        <f t="shared" si="0"/>
        <v>17500</v>
      </c>
      <c r="AB5" s="94">
        <f t="shared" si="0"/>
        <v>500</v>
      </c>
      <c r="AC5" s="61">
        <f t="shared" si="1"/>
        <v>35</v>
      </c>
      <c r="AD5" s="44">
        <f t="shared" si="1"/>
        <v>17500</v>
      </c>
      <c r="AE5" s="88">
        <f t="shared" si="1"/>
        <v>500</v>
      </c>
      <c r="AF5" s="60">
        <f t="shared" si="1"/>
        <v>35</v>
      </c>
      <c r="AG5" s="41">
        <f t="shared" si="1"/>
        <v>17500</v>
      </c>
      <c r="AH5" s="94">
        <f t="shared" si="1"/>
        <v>500</v>
      </c>
      <c r="AI5" s="61">
        <f t="shared" si="1"/>
        <v>35</v>
      </c>
      <c r="AJ5" s="44">
        <f t="shared" si="1"/>
        <v>17500</v>
      </c>
      <c r="AK5" s="88">
        <f t="shared" si="1"/>
        <v>500</v>
      </c>
      <c r="AL5" s="60">
        <f t="shared" si="1"/>
        <v>35</v>
      </c>
      <c r="AM5" s="41">
        <f t="shared" si="2"/>
        <v>17500</v>
      </c>
      <c r="AN5" s="94">
        <f t="shared" si="2"/>
        <v>500</v>
      </c>
      <c r="AO5" s="61">
        <f t="shared" si="2"/>
        <v>35</v>
      </c>
      <c r="AP5" s="44">
        <f t="shared" si="2"/>
        <v>17500</v>
      </c>
      <c r="AQ5" s="88">
        <f t="shared" si="2"/>
        <v>500</v>
      </c>
      <c r="AR5" s="60">
        <f t="shared" si="2"/>
        <v>35</v>
      </c>
      <c r="AS5" s="41">
        <f t="shared" si="2"/>
        <v>17500</v>
      </c>
      <c r="AT5" s="94">
        <f t="shared" si="2"/>
        <v>500</v>
      </c>
      <c r="AU5" s="61">
        <f t="shared" si="2"/>
        <v>35</v>
      </c>
      <c r="AV5" s="44">
        <f t="shared" si="2"/>
        <v>17500</v>
      </c>
      <c r="AW5" s="88">
        <f t="shared" si="3"/>
        <v>500</v>
      </c>
      <c r="AX5" s="60">
        <f t="shared" si="3"/>
        <v>35</v>
      </c>
      <c r="AY5" s="41">
        <f t="shared" si="3"/>
        <v>17500</v>
      </c>
      <c r="AZ5" s="94">
        <f t="shared" si="3"/>
        <v>500</v>
      </c>
      <c r="BA5" s="61">
        <f t="shared" si="3"/>
        <v>35</v>
      </c>
      <c r="BB5" s="44">
        <f t="shared" si="3"/>
        <v>17500</v>
      </c>
      <c r="BD5" s="286">
        <f>SUM(U5,X5,AA5,AD5,AG5,AJ5,AM5,AP5,AS5,AV5,AY5,BB5)</f>
        <v>210000</v>
      </c>
      <c r="BE5" s="287">
        <f t="shared" si="4"/>
        <v>70980</v>
      </c>
      <c r="BF5" s="287">
        <f t="shared" si="5"/>
        <v>0</v>
      </c>
      <c r="BG5" s="288">
        <f t="shared" si="7"/>
        <v>280980</v>
      </c>
      <c r="BH5" s="63" t="s">
        <v>8</v>
      </c>
    </row>
    <row r="6" spans="1:60" ht="15" customHeight="1" x14ac:dyDescent="0.3">
      <c r="A6" s="294" t="s">
        <v>29</v>
      </c>
      <c r="B6" s="297">
        <v>8517</v>
      </c>
      <c r="C6" s="300" t="s">
        <v>115</v>
      </c>
      <c r="R6" s="59" t="s">
        <v>29</v>
      </c>
      <c r="S6" s="88">
        <f t="shared" si="0"/>
        <v>1601.7</v>
      </c>
      <c r="T6" s="60">
        <f t="shared" si="0"/>
        <v>385.6</v>
      </c>
      <c r="U6" s="41">
        <f t="shared" si="0"/>
        <v>98636.226190476184</v>
      </c>
      <c r="V6" s="94">
        <f t="shared" si="0"/>
        <v>1601.7</v>
      </c>
      <c r="W6" s="61">
        <f t="shared" si="0"/>
        <v>357.2</v>
      </c>
      <c r="X6" s="44">
        <f t="shared" si="0"/>
        <v>98636.226190476184</v>
      </c>
      <c r="Y6" s="88">
        <f t="shared" si="0"/>
        <v>1601.7</v>
      </c>
      <c r="Z6" s="60">
        <f t="shared" si="0"/>
        <v>410.8</v>
      </c>
      <c r="AA6" s="41">
        <f t="shared" si="0"/>
        <v>98636.226190476184</v>
      </c>
      <c r="AB6" s="94">
        <f t="shared" si="0"/>
        <v>1601.7</v>
      </c>
      <c r="AC6" s="61">
        <f t="shared" si="1"/>
        <v>385.6</v>
      </c>
      <c r="AD6" s="44">
        <f t="shared" si="1"/>
        <v>98636.226190476184</v>
      </c>
      <c r="AE6" s="88">
        <f t="shared" si="1"/>
        <v>1601.7</v>
      </c>
      <c r="AF6" s="60">
        <f t="shared" si="1"/>
        <v>385.6</v>
      </c>
      <c r="AG6" s="41">
        <f t="shared" si="1"/>
        <v>98636.226190476184</v>
      </c>
      <c r="AH6" s="94">
        <f t="shared" si="1"/>
        <v>1601.7</v>
      </c>
      <c r="AI6" s="61">
        <f t="shared" si="1"/>
        <v>382.4</v>
      </c>
      <c r="AJ6" s="44">
        <f t="shared" si="1"/>
        <v>98636.226190476184</v>
      </c>
      <c r="AK6" s="88">
        <f t="shared" si="1"/>
        <v>1601.7</v>
      </c>
      <c r="AL6" s="60">
        <f t="shared" si="1"/>
        <v>358.2</v>
      </c>
      <c r="AM6" s="41">
        <f t="shared" si="2"/>
        <v>98636.226190476184</v>
      </c>
      <c r="AN6" s="94">
        <f t="shared" si="2"/>
        <v>1601.7</v>
      </c>
      <c r="AO6" s="61">
        <f t="shared" si="2"/>
        <v>339.4</v>
      </c>
      <c r="AP6" s="44">
        <f t="shared" si="2"/>
        <v>99359.576190476189</v>
      </c>
      <c r="AQ6" s="88">
        <f t="shared" si="2"/>
        <v>1201.7</v>
      </c>
      <c r="AR6" s="60">
        <f t="shared" si="2"/>
        <v>341</v>
      </c>
      <c r="AS6" s="41">
        <f t="shared" si="2"/>
        <v>89359.576190476189</v>
      </c>
      <c r="AT6" s="94">
        <f t="shared" si="2"/>
        <v>1201.7</v>
      </c>
      <c r="AU6" s="61">
        <f t="shared" si="2"/>
        <v>360.6</v>
      </c>
      <c r="AV6" s="44">
        <f t="shared" si="2"/>
        <v>89359.576190476189</v>
      </c>
      <c r="AW6" s="88">
        <f t="shared" si="3"/>
        <v>1201.7</v>
      </c>
      <c r="AX6" s="60">
        <f t="shared" si="3"/>
        <v>374.2</v>
      </c>
      <c r="AY6" s="41">
        <f t="shared" si="3"/>
        <v>89359.576190476189</v>
      </c>
      <c r="AZ6" s="94">
        <f t="shared" si="3"/>
        <v>1201.7</v>
      </c>
      <c r="BA6" s="61">
        <f t="shared" si="3"/>
        <v>387.8</v>
      </c>
      <c r="BB6" s="44">
        <f t="shared" si="3"/>
        <v>89359.576190476189</v>
      </c>
      <c r="BD6" s="286">
        <f t="shared" si="6"/>
        <v>1147251.4642857146</v>
      </c>
      <c r="BE6" s="287">
        <f t="shared" si="4"/>
        <v>239050.99492857145</v>
      </c>
      <c r="BF6" s="287">
        <f t="shared" si="5"/>
        <v>14145.029285714287</v>
      </c>
      <c r="BG6" s="288">
        <f t="shared" si="7"/>
        <v>1400447.4885000002</v>
      </c>
      <c r="BH6" s="64" t="s">
        <v>29</v>
      </c>
    </row>
    <row r="7" spans="1:60" ht="15" customHeight="1" x14ac:dyDescent="0.3">
      <c r="A7" s="293" t="s">
        <v>30</v>
      </c>
      <c r="B7" s="297">
        <v>8518</v>
      </c>
      <c r="C7" s="300" t="s">
        <v>116</v>
      </c>
      <c r="R7" s="39" t="s">
        <v>30</v>
      </c>
      <c r="S7" s="88">
        <f t="shared" si="0"/>
        <v>4000.4</v>
      </c>
      <c r="T7" s="60">
        <f t="shared" si="0"/>
        <v>221.2</v>
      </c>
      <c r="U7" s="41">
        <f t="shared" si="0"/>
        <v>79789.3</v>
      </c>
      <c r="V7" s="94">
        <f t="shared" si="0"/>
        <v>4400.3999999999996</v>
      </c>
      <c r="W7" s="61">
        <f t="shared" si="0"/>
        <v>231</v>
      </c>
      <c r="X7" s="44">
        <f t="shared" si="0"/>
        <v>84989.3</v>
      </c>
      <c r="Y7" s="88">
        <f t="shared" si="0"/>
        <v>4400.3999999999996</v>
      </c>
      <c r="Z7" s="60">
        <f t="shared" si="0"/>
        <v>240.6</v>
      </c>
      <c r="AA7" s="41">
        <f t="shared" si="0"/>
        <v>84989.3</v>
      </c>
      <c r="AB7" s="94">
        <f t="shared" si="0"/>
        <v>5200.3999999999996</v>
      </c>
      <c r="AC7" s="61">
        <f t="shared" si="1"/>
        <v>273.8</v>
      </c>
      <c r="AD7" s="44">
        <f t="shared" si="1"/>
        <v>100189.3</v>
      </c>
      <c r="AE7" s="88">
        <f t="shared" si="1"/>
        <v>4400.3999999999996</v>
      </c>
      <c r="AF7" s="60">
        <f t="shared" si="1"/>
        <v>231.8</v>
      </c>
      <c r="AG7" s="41">
        <f t="shared" si="1"/>
        <v>84989.3</v>
      </c>
      <c r="AH7" s="94">
        <f t="shared" si="1"/>
        <v>4400.3999999999996</v>
      </c>
      <c r="AI7" s="61">
        <f t="shared" si="1"/>
        <v>224.6</v>
      </c>
      <c r="AJ7" s="44">
        <f t="shared" si="1"/>
        <v>84989.3</v>
      </c>
      <c r="AK7" s="88">
        <f t="shared" si="1"/>
        <v>4400.3999999999996</v>
      </c>
      <c r="AL7" s="60">
        <f t="shared" si="1"/>
        <v>235</v>
      </c>
      <c r="AM7" s="41">
        <f t="shared" si="2"/>
        <v>84989.3</v>
      </c>
      <c r="AN7" s="94">
        <f t="shared" si="2"/>
        <v>5200.3999999999996</v>
      </c>
      <c r="AO7" s="61">
        <f t="shared" si="2"/>
        <v>276</v>
      </c>
      <c r="AP7" s="44">
        <f t="shared" si="2"/>
        <v>103074.4</v>
      </c>
      <c r="AQ7" s="88">
        <f t="shared" si="2"/>
        <v>4800.3999999999996</v>
      </c>
      <c r="AR7" s="60">
        <f t="shared" si="2"/>
        <v>244.6</v>
      </c>
      <c r="AS7" s="41">
        <f t="shared" si="2"/>
        <v>93074.4</v>
      </c>
      <c r="AT7" s="94">
        <f t="shared" si="2"/>
        <v>5600.4</v>
      </c>
      <c r="AU7" s="61">
        <f t="shared" si="2"/>
        <v>294.2</v>
      </c>
      <c r="AV7" s="44">
        <f t="shared" si="2"/>
        <v>109074.4</v>
      </c>
      <c r="AW7" s="88">
        <f t="shared" si="3"/>
        <v>5600.75</v>
      </c>
      <c r="AX7" s="60">
        <f t="shared" si="3"/>
        <v>359</v>
      </c>
      <c r="AY7" s="41">
        <f t="shared" si="3"/>
        <v>126718.25</v>
      </c>
      <c r="AZ7" s="94">
        <f t="shared" si="3"/>
        <v>5600.75</v>
      </c>
      <c r="BA7" s="61">
        <f t="shared" si="3"/>
        <v>365</v>
      </c>
      <c r="BB7" s="44">
        <f t="shared" si="3"/>
        <v>126718.25</v>
      </c>
      <c r="BD7" s="286">
        <f>SUM(U7,X7,AA7,AD7,AG7,AJ7,AM7,AP7,AS7,AV7,AY7,BB7)</f>
        <v>1163584.8</v>
      </c>
      <c r="BE7" s="287">
        <f t="shared" si="4"/>
        <v>85846.862399999998</v>
      </c>
      <c r="BF7" s="287">
        <f t="shared" si="5"/>
        <v>5079.6959999999999</v>
      </c>
      <c r="BG7" s="288">
        <f t="shared" si="7"/>
        <v>1254511.3584</v>
      </c>
      <c r="BH7" s="63" t="s">
        <v>30</v>
      </c>
    </row>
    <row r="8" spans="1:60" ht="15" customHeight="1" x14ac:dyDescent="0.3">
      <c r="A8" s="293" t="s">
        <v>32</v>
      </c>
      <c r="B8" s="297">
        <v>8519</v>
      </c>
      <c r="C8" s="300" t="s">
        <v>117</v>
      </c>
      <c r="R8" s="39" t="s">
        <v>32</v>
      </c>
      <c r="S8" s="88">
        <f t="shared" si="0"/>
        <v>2800.2</v>
      </c>
      <c r="T8" s="60">
        <f t="shared" si="0"/>
        <v>226.6</v>
      </c>
      <c r="U8" s="41">
        <f t="shared" si="0"/>
        <v>87589.1</v>
      </c>
      <c r="V8" s="94">
        <f t="shared" si="0"/>
        <v>2800.2</v>
      </c>
      <c r="W8" s="61">
        <f t="shared" si="0"/>
        <v>225</v>
      </c>
      <c r="X8" s="44">
        <f t="shared" si="0"/>
        <v>87589.1</v>
      </c>
      <c r="Y8" s="88">
        <f t="shared" si="0"/>
        <v>2800.2</v>
      </c>
      <c r="Z8" s="60">
        <f t="shared" si="0"/>
        <v>229.8</v>
      </c>
      <c r="AA8" s="41">
        <f t="shared" si="0"/>
        <v>87691.1</v>
      </c>
      <c r="AB8" s="94">
        <f t="shared" si="0"/>
        <v>2800.2</v>
      </c>
      <c r="AC8" s="61">
        <f t="shared" si="1"/>
        <v>228.2</v>
      </c>
      <c r="AD8" s="44">
        <f t="shared" si="1"/>
        <v>87691.1</v>
      </c>
      <c r="AE8" s="88">
        <f t="shared" si="1"/>
        <v>2800.2</v>
      </c>
      <c r="AF8" s="60">
        <f t="shared" si="1"/>
        <v>225.8</v>
      </c>
      <c r="AG8" s="41">
        <f t="shared" si="1"/>
        <v>87691.1</v>
      </c>
      <c r="AH8" s="94">
        <f t="shared" si="1"/>
        <v>2800.2</v>
      </c>
      <c r="AI8" s="61">
        <f t="shared" si="1"/>
        <v>222.6</v>
      </c>
      <c r="AJ8" s="44">
        <f t="shared" si="1"/>
        <v>87691.1</v>
      </c>
      <c r="AK8" s="88">
        <f t="shared" si="1"/>
        <v>2800.2</v>
      </c>
      <c r="AL8" s="60">
        <f t="shared" si="1"/>
        <v>225.8</v>
      </c>
      <c r="AM8" s="41">
        <f t="shared" si="2"/>
        <v>87691.1</v>
      </c>
      <c r="AN8" s="94">
        <f t="shared" si="2"/>
        <v>2800.2</v>
      </c>
      <c r="AO8" s="61">
        <f t="shared" si="2"/>
        <v>227.4</v>
      </c>
      <c r="AP8" s="44">
        <f t="shared" si="2"/>
        <v>87691.1</v>
      </c>
      <c r="AQ8" s="88">
        <f t="shared" si="2"/>
        <v>2800.2</v>
      </c>
      <c r="AR8" s="60">
        <f t="shared" si="2"/>
        <v>222.6</v>
      </c>
      <c r="AS8" s="41">
        <f t="shared" si="2"/>
        <v>87691.1</v>
      </c>
      <c r="AT8" s="94">
        <f t="shared" si="2"/>
        <v>2800.2</v>
      </c>
      <c r="AU8" s="61">
        <f t="shared" si="2"/>
        <v>226.6</v>
      </c>
      <c r="AV8" s="44">
        <f t="shared" si="2"/>
        <v>87691.1</v>
      </c>
      <c r="AW8" s="88">
        <f t="shared" si="3"/>
        <v>2800.2</v>
      </c>
      <c r="AX8" s="60">
        <f t="shared" si="3"/>
        <v>228.2</v>
      </c>
      <c r="AY8" s="41">
        <f t="shared" si="3"/>
        <v>87691.1</v>
      </c>
      <c r="AZ8" s="94">
        <f t="shared" si="3"/>
        <v>2800.2</v>
      </c>
      <c r="BA8" s="61">
        <f t="shared" si="3"/>
        <v>228.8</v>
      </c>
      <c r="BB8" s="44">
        <f t="shared" si="3"/>
        <v>87291.1</v>
      </c>
      <c r="BD8" s="423">
        <f>SUM(U8,X8,AA8,AD8,AG8,AJ8,AM8,AP8,AS8,AV8,AY8,BB8)</f>
        <v>1051689.2</v>
      </c>
      <c r="BE8" s="424">
        <f t="shared" si="4"/>
        <v>185254.1496</v>
      </c>
      <c r="BF8" s="424">
        <f t="shared" si="5"/>
        <v>2513.7839999999997</v>
      </c>
      <c r="BG8" s="425">
        <f>SUM(BD8:BF8)</f>
        <v>1239457.1335999998</v>
      </c>
      <c r="BH8" s="63" t="s">
        <v>32</v>
      </c>
    </row>
    <row r="9" spans="1:60" ht="15" customHeight="1" thickBot="1" x14ac:dyDescent="0.35">
      <c r="A9" s="415" t="s">
        <v>155</v>
      </c>
      <c r="B9" s="407">
        <v>5109</v>
      </c>
      <c r="C9" s="426" t="s">
        <v>159</v>
      </c>
      <c r="R9" s="416" t="s">
        <v>155</v>
      </c>
      <c r="S9" s="417">
        <f t="shared" si="0"/>
        <v>0</v>
      </c>
      <c r="T9" s="418">
        <f t="shared" si="0"/>
        <v>0</v>
      </c>
      <c r="U9" s="419">
        <f t="shared" si="0"/>
        <v>0</v>
      </c>
      <c r="V9" s="420">
        <f t="shared" si="0"/>
        <v>0</v>
      </c>
      <c r="W9" s="421">
        <f t="shared" si="0"/>
        <v>0</v>
      </c>
      <c r="X9" s="422">
        <f t="shared" si="0"/>
        <v>0</v>
      </c>
      <c r="Y9" s="417">
        <f t="shared" si="0"/>
        <v>0.4</v>
      </c>
      <c r="Z9" s="418">
        <f t="shared" si="0"/>
        <v>73.600000000000009</v>
      </c>
      <c r="AA9" s="419">
        <f t="shared" si="0"/>
        <v>20536</v>
      </c>
      <c r="AB9" s="420">
        <f t="shared" si="0"/>
        <v>0.4</v>
      </c>
      <c r="AC9" s="421">
        <f t="shared" si="1"/>
        <v>70.400000000000006</v>
      </c>
      <c r="AD9" s="422">
        <f t="shared" si="1"/>
        <v>20536</v>
      </c>
      <c r="AE9" s="417">
        <f t="shared" si="1"/>
        <v>0.4</v>
      </c>
      <c r="AF9" s="418">
        <f t="shared" si="1"/>
        <v>67.2</v>
      </c>
      <c r="AG9" s="419">
        <f t="shared" si="1"/>
        <v>20536</v>
      </c>
      <c r="AH9" s="420">
        <f t="shared" si="1"/>
        <v>0.4</v>
      </c>
      <c r="AI9" s="421">
        <f t="shared" si="1"/>
        <v>70.400000000000006</v>
      </c>
      <c r="AJ9" s="422">
        <f t="shared" si="1"/>
        <v>20536</v>
      </c>
      <c r="AK9" s="417">
        <f t="shared" si="1"/>
        <v>0.4</v>
      </c>
      <c r="AL9" s="418">
        <f t="shared" si="1"/>
        <v>60.800000000000004</v>
      </c>
      <c r="AM9" s="419">
        <f t="shared" si="2"/>
        <v>20536</v>
      </c>
      <c r="AN9" s="420">
        <f t="shared" si="2"/>
        <v>0.4</v>
      </c>
      <c r="AO9" s="421">
        <f t="shared" si="2"/>
        <v>51.2</v>
      </c>
      <c r="AP9" s="422">
        <f t="shared" si="2"/>
        <v>20536</v>
      </c>
      <c r="AQ9" s="417">
        <f t="shared" si="2"/>
        <v>0.4</v>
      </c>
      <c r="AR9" s="418">
        <f t="shared" si="2"/>
        <v>67.2</v>
      </c>
      <c r="AS9" s="419">
        <f t="shared" si="2"/>
        <v>20536</v>
      </c>
      <c r="AT9" s="420">
        <f t="shared" si="2"/>
        <v>0.4</v>
      </c>
      <c r="AU9" s="421">
        <f t="shared" si="2"/>
        <v>67.2</v>
      </c>
      <c r="AV9" s="422">
        <f t="shared" si="2"/>
        <v>20536</v>
      </c>
      <c r="AW9" s="417">
        <f t="shared" si="3"/>
        <v>0.4</v>
      </c>
      <c r="AX9" s="418">
        <f t="shared" si="3"/>
        <v>70.400000000000006</v>
      </c>
      <c r="AY9" s="419">
        <f t="shared" si="3"/>
        <v>20536</v>
      </c>
      <c r="AZ9" s="420">
        <f t="shared" si="3"/>
        <v>0.4</v>
      </c>
      <c r="BA9" s="421">
        <f t="shared" si="3"/>
        <v>73.600000000000009</v>
      </c>
      <c r="BB9" s="422">
        <f t="shared" si="3"/>
        <v>20536</v>
      </c>
      <c r="BD9" s="289">
        <f>SUM(U9,X9,AA9,AD9,AG9,AJ9,AM9,AP9,AS9,AV9,AY9,BB9)</f>
        <v>205360</v>
      </c>
      <c r="BE9" s="311">
        <f t="shared" si="4"/>
        <v>69411.680000000008</v>
      </c>
      <c r="BF9" s="311">
        <f t="shared" si="5"/>
        <v>4107.2</v>
      </c>
      <c r="BG9" s="334">
        <f>SUM(BD9:BF9)</f>
        <v>278878.88</v>
      </c>
      <c r="BH9" s="119" t="s">
        <v>155</v>
      </c>
    </row>
    <row r="10" spans="1:60" ht="15" thickBot="1" x14ac:dyDescent="0.35"/>
    <row r="11" spans="1:60" ht="15" customHeight="1" thickBot="1" x14ac:dyDescent="0.35">
      <c r="L11" s="553" t="s">
        <v>37</v>
      </c>
      <c r="M11" s="554"/>
      <c r="N11" s="554"/>
      <c r="O11" s="554"/>
      <c r="P11" s="554"/>
      <c r="Q11" s="555"/>
      <c r="R11" s="547" t="s">
        <v>26</v>
      </c>
      <c r="S11" s="542">
        <v>44197</v>
      </c>
      <c r="T11" s="543"/>
      <c r="U11" s="544"/>
      <c r="V11" s="542">
        <v>44228</v>
      </c>
      <c r="W11" s="543"/>
      <c r="X11" s="544"/>
      <c r="Y11" s="542">
        <v>44256</v>
      </c>
      <c r="Z11" s="543"/>
      <c r="AA11" s="544"/>
      <c r="AB11" s="542">
        <v>44287</v>
      </c>
      <c r="AC11" s="543"/>
      <c r="AD11" s="544"/>
      <c r="AE11" s="542">
        <v>44317</v>
      </c>
      <c r="AF11" s="543"/>
      <c r="AG11" s="544"/>
      <c r="AH11" s="542">
        <v>44348</v>
      </c>
      <c r="AI11" s="543"/>
      <c r="AJ11" s="544"/>
      <c r="AK11" s="542">
        <v>44378</v>
      </c>
      <c r="AL11" s="543"/>
      <c r="AM11" s="544"/>
      <c r="AN11" s="542">
        <v>44409</v>
      </c>
      <c r="AO11" s="543"/>
      <c r="AP11" s="544"/>
      <c r="AQ11" s="542">
        <v>44440</v>
      </c>
      <c r="AR11" s="543"/>
      <c r="AS11" s="544"/>
      <c r="AT11" s="542">
        <v>44470</v>
      </c>
      <c r="AU11" s="543"/>
      <c r="AV11" s="544"/>
      <c r="AW11" s="542">
        <v>44501</v>
      </c>
      <c r="AX11" s="543"/>
      <c r="AY11" s="544"/>
      <c r="AZ11" s="542">
        <v>44531</v>
      </c>
      <c r="BA11" s="543"/>
      <c r="BB11" s="544"/>
      <c r="BC11" s="282" t="s">
        <v>118</v>
      </c>
    </row>
    <row r="12" spans="1:60" ht="15" thickBot="1" x14ac:dyDescent="0.35">
      <c r="A12" s="151"/>
      <c r="B12" s="152"/>
      <c r="C12" s="153"/>
      <c r="E12" s="406"/>
      <c r="F12" s="429"/>
      <c r="G12" s="406"/>
      <c r="H12" s="406"/>
      <c r="I12" s="406"/>
      <c r="J12" s="406"/>
      <c r="K12" s="431"/>
      <c r="L12" s="556"/>
      <c r="M12" s="557"/>
      <c r="N12" s="557"/>
      <c r="O12" s="557"/>
      <c r="P12" s="557"/>
      <c r="Q12" s="558"/>
      <c r="R12" s="548"/>
      <c r="S12" s="550">
        <v>168</v>
      </c>
      <c r="T12" s="551"/>
      <c r="U12" s="552"/>
      <c r="V12" s="562">
        <v>160</v>
      </c>
      <c r="W12" s="563"/>
      <c r="X12" s="568"/>
      <c r="Y12" s="559">
        <v>184</v>
      </c>
      <c r="Z12" s="560"/>
      <c r="AA12" s="561"/>
      <c r="AB12" s="562">
        <v>176</v>
      </c>
      <c r="AC12" s="563"/>
      <c r="AD12" s="568"/>
      <c r="AE12" s="559">
        <v>168</v>
      </c>
      <c r="AF12" s="560"/>
      <c r="AG12" s="561"/>
      <c r="AH12" s="562">
        <v>176</v>
      </c>
      <c r="AI12" s="563"/>
      <c r="AJ12" s="568"/>
      <c r="AK12" s="559">
        <v>176</v>
      </c>
      <c r="AL12" s="560"/>
      <c r="AM12" s="561"/>
      <c r="AN12" s="562">
        <v>176</v>
      </c>
      <c r="AO12" s="563"/>
      <c r="AP12" s="568"/>
      <c r="AQ12" s="559">
        <v>176</v>
      </c>
      <c r="AR12" s="560"/>
      <c r="AS12" s="561"/>
      <c r="AT12" s="562">
        <v>168</v>
      </c>
      <c r="AU12" s="563"/>
      <c r="AV12" s="568"/>
      <c r="AW12" s="559">
        <v>176</v>
      </c>
      <c r="AX12" s="560"/>
      <c r="AY12" s="561"/>
      <c r="AZ12" s="562">
        <v>184</v>
      </c>
      <c r="BA12" s="563"/>
      <c r="BB12" s="564"/>
      <c r="BC12" s="283">
        <f>SUM(S12:BB12)</f>
        <v>2088</v>
      </c>
    </row>
    <row r="13" spans="1:60" ht="42" customHeight="1" thickBot="1" x14ac:dyDescent="0.35">
      <c r="A13" s="165" t="s">
        <v>51</v>
      </c>
      <c r="B13" s="150" t="s">
        <v>26</v>
      </c>
      <c r="C13" s="428" t="s">
        <v>56</v>
      </c>
      <c r="D13" s="413" t="s">
        <v>52</v>
      </c>
      <c r="E13" s="428" t="s">
        <v>60</v>
      </c>
      <c r="F13" s="428" t="s">
        <v>53</v>
      </c>
      <c r="G13" s="428" t="s">
        <v>54</v>
      </c>
      <c r="H13" s="428" t="s">
        <v>94</v>
      </c>
      <c r="I13" s="428" t="s">
        <v>160</v>
      </c>
      <c r="J13" s="428" t="s">
        <v>161</v>
      </c>
      <c r="K13" s="430" t="s">
        <v>55</v>
      </c>
      <c r="L13" s="147" t="s">
        <v>38</v>
      </c>
      <c r="M13" s="148" t="s">
        <v>39</v>
      </c>
      <c r="N13" s="148" t="s">
        <v>40</v>
      </c>
      <c r="O13" s="148" t="s">
        <v>41</v>
      </c>
      <c r="P13" s="148" t="s">
        <v>42</v>
      </c>
      <c r="Q13" s="149" t="s">
        <v>43</v>
      </c>
      <c r="R13" s="549"/>
      <c r="S13" s="53" t="s">
        <v>0</v>
      </c>
      <c r="T13" s="54" t="s">
        <v>28</v>
      </c>
      <c r="U13" s="55" t="s">
        <v>17</v>
      </c>
      <c r="V13" s="56" t="s">
        <v>0</v>
      </c>
      <c r="W13" s="57" t="s">
        <v>28</v>
      </c>
      <c r="X13" s="58" t="s">
        <v>17</v>
      </c>
      <c r="Y13" s="53" t="s">
        <v>0</v>
      </c>
      <c r="Z13" s="54" t="s">
        <v>28</v>
      </c>
      <c r="AA13" s="55" t="s">
        <v>17</v>
      </c>
      <c r="AB13" s="56" t="s">
        <v>0</v>
      </c>
      <c r="AC13" s="57" t="s">
        <v>28</v>
      </c>
      <c r="AD13" s="58" t="s">
        <v>17</v>
      </c>
      <c r="AE13" s="53" t="s">
        <v>0</v>
      </c>
      <c r="AF13" s="54" t="s">
        <v>28</v>
      </c>
      <c r="AG13" s="55" t="s">
        <v>17</v>
      </c>
      <c r="AH13" s="56" t="s">
        <v>0</v>
      </c>
      <c r="AI13" s="57" t="s">
        <v>28</v>
      </c>
      <c r="AJ13" s="58" t="s">
        <v>17</v>
      </c>
      <c r="AK13" s="53" t="s">
        <v>0</v>
      </c>
      <c r="AL13" s="54" t="s">
        <v>28</v>
      </c>
      <c r="AM13" s="55" t="s">
        <v>17</v>
      </c>
      <c r="AN13" s="56" t="s">
        <v>0</v>
      </c>
      <c r="AO13" s="57" t="s">
        <v>28</v>
      </c>
      <c r="AP13" s="58" t="s">
        <v>17</v>
      </c>
      <c r="AQ13" s="53" t="s">
        <v>0</v>
      </c>
      <c r="AR13" s="54" t="s">
        <v>28</v>
      </c>
      <c r="AS13" s="55" t="s">
        <v>17</v>
      </c>
      <c r="AT13" s="56" t="s">
        <v>0</v>
      </c>
      <c r="AU13" s="57" t="s">
        <v>28</v>
      </c>
      <c r="AV13" s="58" t="s">
        <v>17</v>
      </c>
      <c r="AW13" s="53" t="s">
        <v>0</v>
      </c>
      <c r="AX13" s="54" t="s">
        <v>28</v>
      </c>
      <c r="AY13" s="55" t="s">
        <v>17</v>
      </c>
      <c r="AZ13" s="56" t="s">
        <v>0</v>
      </c>
      <c r="BA13" s="57" t="s">
        <v>28</v>
      </c>
      <c r="BB13" s="273" t="s">
        <v>17</v>
      </c>
      <c r="BC13" s="284" t="s">
        <v>17</v>
      </c>
    </row>
    <row r="14" spans="1:60" ht="15" thickBot="1" x14ac:dyDescent="0.35">
      <c r="A14" s="569" t="s">
        <v>154</v>
      </c>
      <c r="B14" s="62" t="s">
        <v>7</v>
      </c>
      <c r="C14" s="167" t="s">
        <v>58</v>
      </c>
      <c r="D14" s="174">
        <v>0</v>
      </c>
      <c r="E14" s="9"/>
      <c r="F14" s="185" t="s">
        <v>50</v>
      </c>
      <c r="G14" s="10">
        <v>44256</v>
      </c>
      <c r="I14" s="225"/>
      <c r="J14" s="225"/>
      <c r="K14" s="17"/>
      <c r="L14" s="110">
        <v>44256</v>
      </c>
      <c r="M14" s="5">
        <v>44561</v>
      </c>
      <c r="N14" s="109" t="s">
        <v>92</v>
      </c>
      <c r="O14" s="22">
        <v>29340</v>
      </c>
      <c r="P14" s="22">
        <v>22000</v>
      </c>
      <c r="Q14" s="23">
        <f>P14+O14</f>
        <v>51340</v>
      </c>
      <c r="R14" s="62" t="s">
        <v>7</v>
      </c>
      <c r="S14" s="470"/>
      <c r="T14" s="468"/>
      <c r="U14" s="469"/>
      <c r="V14" s="470"/>
      <c r="W14" s="468"/>
      <c r="X14" s="469"/>
      <c r="Y14" s="26">
        <v>0.05</v>
      </c>
      <c r="Z14" s="214">
        <f>(Y$12*Y14)-(Z$19*Y14)</f>
        <v>9.2000000000000011</v>
      </c>
      <c r="AA14" s="21">
        <f t="shared" ref="AA14:AA17" si="8">IF(Y$11&lt;$M$14,$Q$14,$Q$15)*Y14</f>
        <v>2567</v>
      </c>
      <c r="AB14" s="26">
        <v>0.05</v>
      </c>
      <c r="AC14" s="214">
        <f>(AB$12*AB14)-(AC$19*AB14)</f>
        <v>8.8000000000000007</v>
      </c>
      <c r="AD14" s="21">
        <f t="shared" ref="AD14:AD17" si="9">IF(AB$11&lt;$M$14,$Q$14,$Q$15)*AB14</f>
        <v>2567</v>
      </c>
      <c r="AE14" s="26">
        <v>0.05</v>
      </c>
      <c r="AF14" s="214">
        <f>(AE$12*AE14)-(AF$19*AE14)</f>
        <v>8.4</v>
      </c>
      <c r="AG14" s="21">
        <f t="shared" ref="AG14:AG17" si="10">IF(AE$11&lt;$M$14,$Q$14,$Q$15)*AE14</f>
        <v>2567</v>
      </c>
      <c r="AH14" s="26">
        <v>0.05</v>
      </c>
      <c r="AI14" s="214">
        <f>(AH$12*AH14)-(AI$19*AH14)</f>
        <v>8.8000000000000007</v>
      </c>
      <c r="AJ14" s="21">
        <f t="shared" ref="AJ14:AJ17" si="11">IF(AH$11&lt;$M$14,$Q$14,$Q$15)*AH14</f>
        <v>2567</v>
      </c>
      <c r="AK14" s="26">
        <v>0.05</v>
      </c>
      <c r="AL14" s="214">
        <f>(AK$12*AK14)-(AL$19*AK14)</f>
        <v>7.6000000000000005</v>
      </c>
      <c r="AM14" s="21">
        <f t="shared" ref="AM14:AM17" si="12">IF(AK$11&lt;$M$14,$Q$14,$Q$15)*AK14</f>
        <v>2567</v>
      </c>
      <c r="AN14" s="26">
        <v>0.05</v>
      </c>
      <c r="AO14" s="214">
        <f>(AN$12*AN14)-(AO$19*AN14)</f>
        <v>6.4</v>
      </c>
      <c r="AP14" s="21">
        <f t="shared" ref="AP14:AP17" si="13">IF(AN$11&lt;$M$14,$Q$14,$Q$15)*AN14</f>
        <v>2567</v>
      </c>
      <c r="AQ14" s="26">
        <v>0.05</v>
      </c>
      <c r="AR14" s="214">
        <f>(AQ$12*AQ14)-(AR$19*AQ14)</f>
        <v>8.4</v>
      </c>
      <c r="AS14" s="21">
        <f t="shared" ref="AS14:AS17" si="14">IF(AQ$11&lt;$M$14,$Q$14,$Q$15)*AQ14</f>
        <v>2567</v>
      </c>
      <c r="AT14" s="26">
        <v>0.05</v>
      </c>
      <c r="AU14" s="214">
        <f>(AT$12*AT14)-(AU$19*AT14)</f>
        <v>8.4</v>
      </c>
      <c r="AV14" s="21">
        <f t="shared" ref="AV14:AV17" si="15">IF(AT$11&lt;$M$14,$Q$14,$Q$15)*AT14</f>
        <v>2567</v>
      </c>
      <c r="AW14" s="26">
        <v>0.05</v>
      </c>
      <c r="AX14" s="214">
        <f>(AW$12*AW14)-(AX$19*AW14)</f>
        <v>8.8000000000000007</v>
      </c>
      <c r="AY14" s="21">
        <f t="shared" ref="AY14:AY17" si="16">IF(AW$11&lt;$M$14,$Q$14,$Q$15)*AW14</f>
        <v>2567</v>
      </c>
      <c r="AZ14" s="26">
        <v>0.05</v>
      </c>
      <c r="BA14" s="214">
        <f>(AZ$12*AZ14)-(BA$19*AZ14)</f>
        <v>9.2000000000000011</v>
      </c>
      <c r="BB14" s="21">
        <f t="shared" ref="BB14:BB17" si="17">IF(AZ$11&lt;$M$14,$Q$14,$Q$15)*AZ14</f>
        <v>2567</v>
      </c>
      <c r="BC14" s="285">
        <f>SUM(U14,X14,AA14,AD14,AG14,AJ14,AM14,AP14,AS14,AV14,AY14,BB14)</f>
        <v>25670</v>
      </c>
    </row>
    <row r="15" spans="1:60" ht="15" thickBot="1" x14ac:dyDescent="0.35">
      <c r="A15" s="570"/>
      <c r="B15" s="63" t="s">
        <v>6</v>
      </c>
      <c r="C15" s="158" t="s">
        <v>58</v>
      </c>
      <c r="D15" s="171"/>
      <c r="E15" s="4"/>
      <c r="F15" s="185" t="s">
        <v>50</v>
      </c>
      <c r="G15" s="10">
        <v>44256</v>
      </c>
      <c r="H15" s="225">
        <v>44561</v>
      </c>
      <c r="I15" s="222"/>
      <c r="J15" s="222"/>
      <c r="K15" s="18"/>
      <c r="L15" s="20"/>
      <c r="M15" s="22"/>
      <c r="N15" s="107"/>
      <c r="O15" s="22"/>
      <c r="P15" s="22"/>
      <c r="Q15" s="23"/>
      <c r="R15" s="63" t="s">
        <v>6</v>
      </c>
      <c r="S15" s="467"/>
      <c r="T15" s="468"/>
      <c r="U15" s="469"/>
      <c r="V15" s="467"/>
      <c r="W15" s="468"/>
      <c r="X15" s="469"/>
      <c r="Y15" s="24">
        <v>0.15</v>
      </c>
      <c r="Z15" s="214">
        <f>(Y$12*Y15)-(Z$19*Y15)</f>
        <v>27.599999999999998</v>
      </c>
      <c r="AA15" s="21">
        <f t="shared" si="8"/>
        <v>7701</v>
      </c>
      <c r="AB15" s="24">
        <v>0.15</v>
      </c>
      <c r="AC15" s="214">
        <f>(AB$12*AB15)-(AC$19*AB15)</f>
        <v>26.4</v>
      </c>
      <c r="AD15" s="21">
        <f t="shared" si="9"/>
        <v>7701</v>
      </c>
      <c r="AE15" s="24">
        <v>0.15</v>
      </c>
      <c r="AF15" s="214">
        <f>(AE$12*AE15)-(AF$19*AE15)</f>
        <v>25.2</v>
      </c>
      <c r="AG15" s="21">
        <f t="shared" si="10"/>
        <v>7701</v>
      </c>
      <c r="AH15" s="24">
        <v>0.15</v>
      </c>
      <c r="AI15" s="214">
        <f>(AH$12*AH15)-(AI$19*AH15)</f>
        <v>26.4</v>
      </c>
      <c r="AJ15" s="21">
        <f t="shared" si="11"/>
        <v>7701</v>
      </c>
      <c r="AK15" s="24">
        <v>0.15</v>
      </c>
      <c r="AL15" s="214">
        <f>(AK$12*AK15)-(AL$19*AK15)</f>
        <v>22.799999999999997</v>
      </c>
      <c r="AM15" s="21">
        <f t="shared" si="12"/>
        <v>7701</v>
      </c>
      <c r="AN15" s="24">
        <v>0.15</v>
      </c>
      <c r="AO15" s="214">
        <f>(AN$12*AN15)-(AO$19*AN15)</f>
        <v>19.2</v>
      </c>
      <c r="AP15" s="21">
        <f t="shared" si="13"/>
        <v>7701</v>
      </c>
      <c r="AQ15" s="24">
        <v>0.15</v>
      </c>
      <c r="AR15" s="214">
        <f>(AQ$12*AQ15)-(AR$19*AQ15)</f>
        <v>25.2</v>
      </c>
      <c r="AS15" s="21">
        <f t="shared" si="14"/>
        <v>7701</v>
      </c>
      <c r="AT15" s="24">
        <v>0.15</v>
      </c>
      <c r="AU15" s="214">
        <f>(AT$12*AT15)-(AU$19*AT15)</f>
        <v>25.2</v>
      </c>
      <c r="AV15" s="21">
        <f t="shared" si="15"/>
        <v>7701</v>
      </c>
      <c r="AW15" s="24">
        <v>0.15</v>
      </c>
      <c r="AX15" s="214">
        <f t="shared" ref="AX15" si="18">(AW$12*AW15)-(AX$19*AW15)</f>
        <v>26.4</v>
      </c>
      <c r="AY15" s="21">
        <f t="shared" si="16"/>
        <v>7701</v>
      </c>
      <c r="AZ15" s="24">
        <v>0.15</v>
      </c>
      <c r="BA15" s="214">
        <f t="shared" ref="BA15" si="19">(AZ$12*AZ15)-(BA$19*AZ15)</f>
        <v>27.599999999999998</v>
      </c>
      <c r="BB15" s="21">
        <f t="shared" si="17"/>
        <v>7701</v>
      </c>
      <c r="BC15" s="285">
        <f t="shared" ref="BC15:BC18" si="20">SUM(U15,X15,AA15,AD15,AG15,AJ15,AM15,AP15,AS15,AV15,AY15,BB15)</f>
        <v>77010</v>
      </c>
    </row>
    <row r="16" spans="1:60" ht="15" thickBot="1" x14ac:dyDescent="0.35">
      <c r="A16" s="570"/>
      <c r="B16" s="63" t="s">
        <v>9</v>
      </c>
      <c r="C16" s="158" t="s">
        <v>58</v>
      </c>
      <c r="D16" s="171"/>
      <c r="E16" s="4"/>
      <c r="F16" s="185" t="s">
        <v>50</v>
      </c>
      <c r="G16" s="10">
        <v>44256</v>
      </c>
      <c r="H16" s="222">
        <v>44742</v>
      </c>
      <c r="I16" s="222"/>
      <c r="J16" s="222"/>
      <c r="K16" s="18"/>
      <c r="L16" s="20"/>
      <c r="M16" s="22"/>
      <c r="N16" s="107"/>
      <c r="O16" s="22"/>
      <c r="P16" s="22"/>
      <c r="Q16" s="23"/>
      <c r="R16" s="63" t="s">
        <v>9</v>
      </c>
      <c r="S16" s="467"/>
      <c r="T16" s="468"/>
      <c r="U16" s="469"/>
      <c r="V16" s="467"/>
      <c r="W16" s="468"/>
      <c r="X16" s="469"/>
      <c r="Y16" s="24">
        <v>0.4</v>
      </c>
      <c r="Z16" s="214">
        <f>(Y$12*Y16)-(Z$19*Y16)</f>
        <v>73.600000000000009</v>
      </c>
      <c r="AA16" s="21">
        <f t="shared" si="8"/>
        <v>20536</v>
      </c>
      <c r="AB16" s="24">
        <v>0.4</v>
      </c>
      <c r="AC16" s="214">
        <f>(AB$12*AB16)-(AC$19*AB16)</f>
        <v>70.400000000000006</v>
      </c>
      <c r="AD16" s="21">
        <f t="shared" si="9"/>
        <v>20536</v>
      </c>
      <c r="AE16" s="24">
        <v>0.4</v>
      </c>
      <c r="AF16" s="214">
        <f>(AE$12*AE16)-(AF$19*AE16)</f>
        <v>67.2</v>
      </c>
      <c r="AG16" s="21">
        <f t="shared" si="10"/>
        <v>20536</v>
      </c>
      <c r="AH16" s="24">
        <v>0.4</v>
      </c>
      <c r="AI16" s="214">
        <f>(AH$12*AH16)-(AI$19*AH16)</f>
        <v>70.400000000000006</v>
      </c>
      <c r="AJ16" s="21">
        <f t="shared" si="11"/>
        <v>20536</v>
      </c>
      <c r="AK16" s="24">
        <v>0.4</v>
      </c>
      <c r="AL16" s="214">
        <f>(AK$12*AK16)-(AL$19*AK16)</f>
        <v>60.800000000000004</v>
      </c>
      <c r="AM16" s="21">
        <f t="shared" si="12"/>
        <v>20536</v>
      </c>
      <c r="AN16" s="24">
        <v>0.4</v>
      </c>
      <c r="AO16" s="214">
        <f>(AN$12*AN16)-(AO$19*AN16)</f>
        <v>51.2</v>
      </c>
      <c r="AP16" s="21">
        <f t="shared" si="13"/>
        <v>20536</v>
      </c>
      <c r="AQ16" s="24">
        <v>0.4</v>
      </c>
      <c r="AR16" s="214">
        <f>(AQ$12*AQ16)-(AR$19*AQ16)</f>
        <v>67.2</v>
      </c>
      <c r="AS16" s="21">
        <f t="shared" si="14"/>
        <v>20536</v>
      </c>
      <c r="AT16" s="24">
        <v>0.4</v>
      </c>
      <c r="AU16" s="214">
        <f>(AT$12*AT16)-(AU$19*AT16)</f>
        <v>67.2</v>
      </c>
      <c r="AV16" s="21">
        <f t="shared" si="15"/>
        <v>20536</v>
      </c>
      <c r="AW16" s="24">
        <v>0.4</v>
      </c>
      <c r="AX16" s="214">
        <f>(AW$12*AW16)-(AX$19*AW16)</f>
        <v>70.400000000000006</v>
      </c>
      <c r="AY16" s="21">
        <f t="shared" si="16"/>
        <v>20536</v>
      </c>
      <c r="AZ16" s="24">
        <v>0.4</v>
      </c>
      <c r="BA16" s="214">
        <f>(AZ$12*AZ16)-(BA$19*AZ16)</f>
        <v>73.600000000000009</v>
      </c>
      <c r="BB16" s="21">
        <f t="shared" si="17"/>
        <v>20536</v>
      </c>
      <c r="BC16" s="285">
        <f t="shared" si="20"/>
        <v>205360</v>
      </c>
    </row>
    <row r="17" spans="1:55" ht="15" thickBot="1" x14ac:dyDescent="0.35">
      <c r="A17" s="570"/>
      <c r="B17" s="63" t="s">
        <v>155</v>
      </c>
      <c r="C17" s="158" t="s">
        <v>58</v>
      </c>
      <c r="D17" s="171"/>
      <c r="E17" s="4"/>
      <c r="F17" s="185" t="s">
        <v>50</v>
      </c>
      <c r="G17" s="10">
        <v>44256</v>
      </c>
      <c r="H17" s="222">
        <v>45199</v>
      </c>
      <c r="I17" s="222"/>
      <c r="J17" s="222"/>
      <c r="K17" s="18"/>
      <c r="L17" s="20"/>
      <c r="M17" s="22"/>
      <c r="N17" s="107"/>
      <c r="O17" s="22"/>
      <c r="P17" s="22"/>
      <c r="Q17" s="23"/>
      <c r="R17" s="63" t="s">
        <v>155</v>
      </c>
      <c r="S17" s="467"/>
      <c r="T17" s="468"/>
      <c r="U17" s="469"/>
      <c r="V17" s="467"/>
      <c r="W17" s="468"/>
      <c r="X17" s="469"/>
      <c r="Y17" s="24">
        <v>0.4</v>
      </c>
      <c r="Z17" s="214">
        <f>(Y$12*Y17)-(Z$19*Y17)</f>
        <v>73.600000000000009</v>
      </c>
      <c r="AA17" s="21">
        <f t="shared" si="8"/>
        <v>20536</v>
      </c>
      <c r="AB17" s="24">
        <v>0.4</v>
      </c>
      <c r="AC17" s="214">
        <f>(AB$12*AB17)-(AC$19*AB17)</f>
        <v>70.400000000000006</v>
      </c>
      <c r="AD17" s="21">
        <f t="shared" si="9"/>
        <v>20536</v>
      </c>
      <c r="AE17" s="24">
        <v>0.4</v>
      </c>
      <c r="AF17" s="214">
        <f>(AE$12*AE17)-(AF$19*AE17)</f>
        <v>67.2</v>
      </c>
      <c r="AG17" s="21">
        <f t="shared" si="10"/>
        <v>20536</v>
      </c>
      <c r="AH17" s="24">
        <v>0.4</v>
      </c>
      <c r="AI17" s="214">
        <f>(AH$12*AH17)-(AI$19*AH17)</f>
        <v>70.400000000000006</v>
      </c>
      <c r="AJ17" s="21">
        <f t="shared" si="11"/>
        <v>20536</v>
      </c>
      <c r="AK17" s="24">
        <v>0.4</v>
      </c>
      <c r="AL17" s="214">
        <f>(AK$12*AK17)-(AL$19*AK17)</f>
        <v>60.800000000000004</v>
      </c>
      <c r="AM17" s="21">
        <f t="shared" si="12"/>
        <v>20536</v>
      </c>
      <c r="AN17" s="24">
        <v>0.4</v>
      </c>
      <c r="AO17" s="214">
        <f>(AN$12*AN17)-(AO$19*AN17)</f>
        <v>51.2</v>
      </c>
      <c r="AP17" s="21">
        <f t="shared" si="13"/>
        <v>20536</v>
      </c>
      <c r="AQ17" s="24">
        <v>0.4</v>
      </c>
      <c r="AR17" s="214">
        <f>(AQ$12*AQ17)-(AR$19*AQ17)</f>
        <v>67.2</v>
      </c>
      <c r="AS17" s="21">
        <f t="shared" si="14"/>
        <v>20536</v>
      </c>
      <c r="AT17" s="24">
        <v>0.4</v>
      </c>
      <c r="AU17" s="214">
        <f>(AT$12*AT17)-(AU$19*AT17)</f>
        <v>67.2</v>
      </c>
      <c r="AV17" s="21">
        <f t="shared" si="15"/>
        <v>20536</v>
      </c>
      <c r="AW17" s="24">
        <v>0.4</v>
      </c>
      <c r="AX17" s="214">
        <f>(AW$12*AW17)-(AX$19*AW17)</f>
        <v>70.400000000000006</v>
      </c>
      <c r="AY17" s="21">
        <f t="shared" si="16"/>
        <v>20536</v>
      </c>
      <c r="AZ17" s="24">
        <v>0.4</v>
      </c>
      <c r="BA17" s="214">
        <f>(AZ$12*AZ17)-(BA$19*AZ17)</f>
        <v>73.600000000000009</v>
      </c>
      <c r="BB17" s="21">
        <f t="shared" si="17"/>
        <v>20536</v>
      </c>
      <c r="BC17" s="285">
        <f t="shared" si="20"/>
        <v>205360</v>
      </c>
    </row>
    <row r="18" spans="1:55" ht="15" thickBot="1" x14ac:dyDescent="0.35">
      <c r="A18" s="570"/>
      <c r="B18" s="63" t="s">
        <v>36</v>
      </c>
      <c r="C18" s="156"/>
      <c r="D18" s="171"/>
      <c r="E18" s="4"/>
      <c r="F18" s="182"/>
      <c r="G18" s="5"/>
      <c r="H18" s="222"/>
      <c r="I18" s="222"/>
      <c r="J18" s="222"/>
      <c r="K18" s="18"/>
      <c r="L18" s="20"/>
      <c r="M18" s="22"/>
      <c r="N18" s="107"/>
      <c r="O18" s="22"/>
      <c r="P18" s="22"/>
      <c r="Q18" s="23"/>
      <c r="R18" s="63" t="s">
        <v>36</v>
      </c>
      <c r="S18" s="471"/>
      <c r="T18" s="472"/>
      <c r="U18" s="473"/>
      <c r="V18" s="471"/>
      <c r="W18" s="472"/>
      <c r="X18" s="473"/>
      <c r="Y18" s="27">
        <f t="shared" ref="Y18:BB18" si="21">SUM(Y14:Y17)</f>
        <v>1</v>
      </c>
      <c r="Z18" s="77">
        <f t="shared" si="21"/>
        <v>184</v>
      </c>
      <c r="AA18" s="28">
        <f t="shared" si="21"/>
        <v>51340</v>
      </c>
      <c r="AB18" s="27">
        <f t="shared" si="21"/>
        <v>1</v>
      </c>
      <c r="AC18" s="77">
        <f t="shared" si="21"/>
        <v>176</v>
      </c>
      <c r="AD18" s="28">
        <f t="shared" si="21"/>
        <v>51340</v>
      </c>
      <c r="AE18" s="27">
        <f t="shared" si="21"/>
        <v>1</v>
      </c>
      <c r="AF18" s="77">
        <f t="shared" si="21"/>
        <v>168</v>
      </c>
      <c r="AG18" s="28">
        <f t="shared" si="21"/>
        <v>51340</v>
      </c>
      <c r="AH18" s="27">
        <f t="shared" si="21"/>
        <v>1</v>
      </c>
      <c r="AI18" s="77">
        <f t="shared" si="21"/>
        <v>176</v>
      </c>
      <c r="AJ18" s="28">
        <f t="shared" si="21"/>
        <v>51340</v>
      </c>
      <c r="AK18" s="27">
        <f t="shared" si="21"/>
        <v>1</v>
      </c>
      <c r="AL18" s="77">
        <f t="shared" si="21"/>
        <v>152</v>
      </c>
      <c r="AM18" s="28">
        <f t="shared" si="21"/>
        <v>51340</v>
      </c>
      <c r="AN18" s="27">
        <f t="shared" si="21"/>
        <v>1</v>
      </c>
      <c r="AO18" s="77">
        <f t="shared" si="21"/>
        <v>128</v>
      </c>
      <c r="AP18" s="28">
        <f t="shared" si="21"/>
        <v>51340</v>
      </c>
      <c r="AQ18" s="27">
        <f t="shared" si="21"/>
        <v>1</v>
      </c>
      <c r="AR18" s="77">
        <f t="shared" si="21"/>
        <v>168</v>
      </c>
      <c r="AS18" s="28">
        <f t="shared" si="21"/>
        <v>51340</v>
      </c>
      <c r="AT18" s="27">
        <f t="shared" si="21"/>
        <v>1</v>
      </c>
      <c r="AU18" s="77">
        <f t="shared" si="21"/>
        <v>168</v>
      </c>
      <c r="AV18" s="28">
        <f t="shared" si="21"/>
        <v>51340</v>
      </c>
      <c r="AW18" s="27">
        <f t="shared" si="21"/>
        <v>1</v>
      </c>
      <c r="AX18" s="77">
        <f t="shared" si="21"/>
        <v>176</v>
      </c>
      <c r="AY18" s="28">
        <f t="shared" si="21"/>
        <v>51340</v>
      </c>
      <c r="AZ18" s="27">
        <f t="shared" si="21"/>
        <v>1</v>
      </c>
      <c r="BA18" s="77">
        <f t="shared" si="21"/>
        <v>184</v>
      </c>
      <c r="BB18" s="28">
        <f t="shared" si="21"/>
        <v>51340</v>
      </c>
      <c r="BC18" s="285">
        <f t="shared" si="20"/>
        <v>513400</v>
      </c>
    </row>
    <row r="19" spans="1:55" ht="15" thickBot="1" x14ac:dyDescent="0.35">
      <c r="A19" s="571"/>
      <c r="B19" s="340" t="s">
        <v>27</v>
      </c>
      <c r="C19" s="157"/>
      <c r="D19" s="173"/>
      <c r="E19" s="6"/>
      <c r="F19" s="184"/>
      <c r="G19" s="8"/>
      <c r="H19" s="224"/>
      <c r="I19" s="224"/>
      <c r="J19" s="224"/>
      <c r="K19" s="16"/>
      <c r="L19" s="29"/>
      <c r="M19" s="108"/>
      <c r="N19" s="111"/>
      <c r="O19" s="108"/>
      <c r="P19" s="108"/>
      <c r="Q19" s="99"/>
      <c r="R19" s="342" t="s">
        <v>27</v>
      </c>
      <c r="S19" s="25"/>
      <c r="T19" s="78">
        <f>S19*8*S18</f>
        <v>0</v>
      </c>
      <c r="U19" s="13"/>
      <c r="V19" s="25"/>
      <c r="W19" s="78">
        <f>V19*8*V18</f>
        <v>0</v>
      </c>
      <c r="X19" s="13"/>
      <c r="Y19" s="25"/>
      <c r="Z19" s="78">
        <f>Y19*8*Y18</f>
        <v>0</v>
      </c>
      <c r="AA19" s="13"/>
      <c r="AB19" s="25"/>
      <c r="AC19" s="78">
        <f t="shared" ref="AC19" si="22">AB19*8*AB18</f>
        <v>0</v>
      </c>
      <c r="AD19" s="13"/>
      <c r="AE19" s="25"/>
      <c r="AF19" s="78">
        <f t="shared" ref="AF19" si="23">AE19*8*AE18</f>
        <v>0</v>
      </c>
      <c r="AG19" s="13"/>
      <c r="AH19" s="25"/>
      <c r="AI19" s="78">
        <f t="shared" ref="AI19" si="24">AH19*8*AH18</f>
        <v>0</v>
      </c>
      <c r="AJ19" s="13"/>
      <c r="AK19" s="25">
        <v>3</v>
      </c>
      <c r="AL19" s="78">
        <f t="shared" ref="AL19" si="25">AK19*8*AK18</f>
        <v>24</v>
      </c>
      <c r="AM19" s="13"/>
      <c r="AN19" s="25">
        <v>6</v>
      </c>
      <c r="AO19" s="78">
        <f t="shared" ref="AO19" si="26">AN19*8*AN18</f>
        <v>48</v>
      </c>
      <c r="AP19" s="13"/>
      <c r="AQ19" s="25">
        <v>1</v>
      </c>
      <c r="AR19" s="78">
        <f t="shared" ref="AR19" si="27">AQ19*8*AQ18</f>
        <v>8</v>
      </c>
      <c r="AS19" s="13"/>
      <c r="AT19" s="25"/>
      <c r="AU19" s="78">
        <f t="shared" ref="AU19" si="28">AT19*8*AT18</f>
        <v>0</v>
      </c>
      <c r="AV19" s="13"/>
      <c r="AW19" s="25"/>
      <c r="AX19" s="78">
        <f t="shared" ref="AX19" si="29">AW19*8*AW18</f>
        <v>0</v>
      </c>
      <c r="AY19" s="13"/>
      <c r="AZ19" s="25"/>
      <c r="BA19" s="78">
        <f t="shared" ref="BA19" si="30">AZ19*8*AZ18</f>
        <v>0</v>
      </c>
      <c r="BB19" s="13"/>
      <c r="BC19" s="344">
        <f>(25)-(S19+V19+Y19+AB19+AE19+AH19+AK19+AN19+AQ19+AT19+AW19+AZ19)</f>
        <v>15</v>
      </c>
    </row>
    <row r="20" spans="1:55" ht="15" thickBot="1" x14ac:dyDescent="0.35">
      <c r="A20" s="539" t="s">
        <v>62</v>
      </c>
      <c r="B20" s="62" t="s">
        <v>7</v>
      </c>
      <c r="C20" s="216" t="s">
        <v>57</v>
      </c>
      <c r="D20" s="170">
        <v>0.2</v>
      </c>
      <c r="E20" s="3"/>
      <c r="F20" s="181" t="s">
        <v>50</v>
      </c>
      <c r="G20" s="132">
        <v>42522</v>
      </c>
      <c r="H20" s="221"/>
      <c r="I20" s="221"/>
      <c r="J20" s="221"/>
      <c r="K20" s="138"/>
      <c r="L20" s="110">
        <v>44136</v>
      </c>
      <c r="M20" s="5">
        <v>44561</v>
      </c>
      <c r="N20" s="109" t="s">
        <v>14</v>
      </c>
      <c r="O20" s="22">
        <v>25530</v>
      </c>
      <c r="P20" s="22">
        <v>2100</v>
      </c>
      <c r="Q20" s="23">
        <f>P20+O20</f>
        <v>27630</v>
      </c>
      <c r="R20" s="125" t="s">
        <v>7</v>
      </c>
      <c r="S20" s="118">
        <v>0.05</v>
      </c>
      <c r="T20" s="215">
        <f>(S$12*S20)-(T$25*S20)</f>
        <v>8.4</v>
      </c>
      <c r="U20" s="455">
        <f>(1/S$24)*IF(S$11&lt;$M$20,$Q$20,$Q$21)*S20</f>
        <v>1973.5714285714287</v>
      </c>
      <c r="V20" s="118">
        <v>0.05</v>
      </c>
      <c r="W20" s="215">
        <f>(V$12*V20)-(W$25*V20)</f>
        <v>6.6</v>
      </c>
      <c r="X20" s="455">
        <f>(1/V$24)*IF(V$11&lt;$M$20,$Q$20,$Q$21)*V20</f>
        <v>1973.5714285714287</v>
      </c>
      <c r="Y20" s="118">
        <v>0.05</v>
      </c>
      <c r="Z20" s="215">
        <f>(Y$12*Y20)-(Z$25*Y20)</f>
        <v>9.2000000000000011</v>
      </c>
      <c r="AA20" s="455">
        <f>(1/Y$24)*IF(Y$11&lt;$M$20,$Q$20,$Q$21)*Y20</f>
        <v>1973.5714285714287</v>
      </c>
      <c r="AB20" s="118">
        <v>0.05</v>
      </c>
      <c r="AC20" s="215">
        <f>(AB$12*AB20)-(AC$25*AB20)</f>
        <v>8.8000000000000007</v>
      </c>
      <c r="AD20" s="455">
        <f>(1/AB$24)*IF(AB$11&lt;$M$20,$Q$20,$Q$21)*AB20</f>
        <v>1973.5714285714287</v>
      </c>
      <c r="AE20" s="118">
        <v>0.05</v>
      </c>
      <c r="AF20" s="215">
        <f>(AE$12*AE20)-(AF$25*AE20)</f>
        <v>8.4</v>
      </c>
      <c r="AG20" s="455">
        <f>(1/AE$24)*IF(AE$11&lt;$M$20,$Q$20,$Q$21)*AE20</f>
        <v>1973.5714285714287</v>
      </c>
      <c r="AH20" s="118">
        <v>0.05</v>
      </c>
      <c r="AI20" s="215">
        <f>(AH$12*AH20)-(AI$25*AH20)</f>
        <v>8.8000000000000007</v>
      </c>
      <c r="AJ20" s="455">
        <f>(1/AH$24)*IF(AH$11&lt;$M$20,$Q$20,$Q$21)*AH20</f>
        <v>1973.5714285714287</v>
      </c>
      <c r="AK20" s="118">
        <v>0.05</v>
      </c>
      <c r="AL20" s="215">
        <f>(AK$12*AK20)-(AL$25*AK20)</f>
        <v>6</v>
      </c>
      <c r="AM20" s="455">
        <f>(1/AK$24)*IF(AK$11&lt;$M$20,$Q$20,$Q$21)*AK20</f>
        <v>1973.5714285714287</v>
      </c>
      <c r="AN20" s="118">
        <v>0.05</v>
      </c>
      <c r="AO20" s="215">
        <f>(AN$12*AN20)-(AO$25*AN20)</f>
        <v>7.4</v>
      </c>
      <c r="AP20" s="455">
        <f>(1/AN$24)*IF(AN$11&lt;$M$20,$Q$20,$Q$21)*AN20</f>
        <v>1973.5714285714287</v>
      </c>
      <c r="AQ20" s="118">
        <v>0.05</v>
      </c>
      <c r="AR20" s="215">
        <f>(AQ$12*AQ20)-(AR$25*AQ20)</f>
        <v>8.8000000000000007</v>
      </c>
      <c r="AS20" s="455">
        <f>(1/AQ$24)*IF(AQ$11&lt;$M$20,$Q$20,$Q$21)*AQ20</f>
        <v>1973.5714285714287</v>
      </c>
      <c r="AT20" s="118">
        <v>0.05</v>
      </c>
      <c r="AU20" s="215">
        <f>(AT$12*AT20)-(AU$25*AT20)</f>
        <v>8.4</v>
      </c>
      <c r="AV20" s="455">
        <f>(1/AT$24)*IF(AT$11&lt;$M$20,$Q$20,$Q$21)*AT20</f>
        <v>1973.5714285714287</v>
      </c>
      <c r="AW20" s="118">
        <v>0.05</v>
      </c>
      <c r="AX20" s="215">
        <f>(AW$12*AW20)-(AX$25*AW20)</f>
        <v>8.8000000000000007</v>
      </c>
      <c r="AY20" s="455">
        <f>(1/AW$24)*IF(AW$11&lt;$M$20,$Q$20,$Q$21)*AW20</f>
        <v>1973.5714285714287</v>
      </c>
      <c r="AZ20" s="118">
        <v>0.05</v>
      </c>
      <c r="BA20" s="215">
        <f>(AZ$12*AZ20)-(BA$25*AZ20)</f>
        <v>9.2000000000000011</v>
      </c>
      <c r="BB20" s="455">
        <f>(1/AZ$24)*IF(AZ$11&lt;$M$20,$Q$20,$Q$21)*AZ20</f>
        <v>1973.5714285714287</v>
      </c>
      <c r="BC20" s="285">
        <f>SUM(U20,X20,AA20,AD20,AG20,AJ20,AM20,AP20,AS20,AV20,AY20,BB20)</f>
        <v>23682.857142857141</v>
      </c>
    </row>
    <row r="21" spans="1:55" ht="15" thickBot="1" x14ac:dyDescent="0.35">
      <c r="A21" s="540"/>
      <c r="B21" s="63" t="s">
        <v>6</v>
      </c>
      <c r="C21" s="217" t="s">
        <v>58</v>
      </c>
      <c r="D21" s="171"/>
      <c r="E21" s="4" t="s">
        <v>59</v>
      </c>
      <c r="F21" s="182" t="s">
        <v>50</v>
      </c>
      <c r="G21" s="5">
        <v>43831</v>
      </c>
      <c r="H21" s="222">
        <v>45230</v>
      </c>
      <c r="I21" s="222"/>
      <c r="J21" s="222"/>
      <c r="K21" s="18"/>
      <c r="L21" s="20"/>
      <c r="M21" s="22"/>
      <c r="N21" s="22"/>
      <c r="O21" s="22"/>
      <c r="P21" s="22"/>
      <c r="Q21" s="126"/>
      <c r="R21" s="31" t="s">
        <v>6</v>
      </c>
      <c r="S21" s="24">
        <v>0.25</v>
      </c>
      <c r="T21" s="96">
        <f>(S$12*S21)-(T$25*S21)</f>
        <v>42</v>
      </c>
      <c r="U21" s="456">
        <v>9868</v>
      </c>
      <c r="V21" s="24">
        <v>0.25</v>
      </c>
      <c r="W21" s="96">
        <f>(V$12*V21)-(W$25*V21)</f>
        <v>33</v>
      </c>
      <c r="X21" s="456">
        <v>9697</v>
      </c>
      <c r="Y21" s="24">
        <v>0.25</v>
      </c>
      <c r="Z21" s="96">
        <f>(Y$12*Y21)-(Z$25*Y21)</f>
        <v>46</v>
      </c>
      <c r="AA21" s="456">
        <v>9868</v>
      </c>
      <c r="AB21" s="24">
        <v>0.25</v>
      </c>
      <c r="AC21" s="96">
        <f>(AB$12*AB21)-(AC$25*AB21)</f>
        <v>44</v>
      </c>
      <c r="AD21" s="456">
        <v>9868</v>
      </c>
      <c r="AE21" s="24">
        <v>0.25</v>
      </c>
      <c r="AF21" s="96">
        <f>(AE$12*AE21)-(AF$25*AE21)</f>
        <v>42</v>
      </c>
      <c r="AG21" s="456">
        <f>(1/AE$24)*IF(AE$11&lt;$M$20,$Q$20,$Q$21)*AE21</f>
        <v>9867.8571428571431</v>
      </c>
      <c r="AH21" s="24">
        <v>0.25</v>
      </c>
      <c r="AI21" s="96">
        <f>(AH$12*AH21)-(AI$25*AH21)</f>
        <v>44</v>
      </c>
      <c r="AJ21" s="456">
        <f>(1/AH$24)*IF(AH$11&lt;$M$20,$Q$20,$Q$21)*AH21</f>
        <v>9867.8571428571431</v>
      </c>
      <c r="AK21" s="24">
        <v>0.25</v>
      </c>
      <c r="AL21" s="96">
        <f>(AK$12*AK21)-(AL$25*AK21)</f>
        <v>30</v>
      </c>
      <c r="AM21" s="456">
        <f>(1/AK$24)*IF(AK$11&lt;$M$20,$Q$20,$Q$21)*AK21</f>
        <v>9867.8571428571431</v>
      </c>
      <c r="AN21" s="24">
        <v>0.25</v>
      </c>
      <c r="AO21" s="96">
        <f>(AN$12*AN21)-(AO$25*AN21)</f>
        <v>37</v>
      </c>
      <c r="AP21" s="456">
        <f>(1/AN$24)*IF(AN$11&lt;$M$20,$Q$20,$Q$21)*AN21</f>
        <v>9867.8571428571431</v>
      </c>
      <c r="AQ21" s="24">
        <v>0.25</v>
      </c>
      <c r="AR21" s="96">
        <f>(AQ$12*AQ21)-(AR$25*AQ21)</f>
        <v>44</v>
      </c>
      <c r="AS21" s="456">
        <f>(1/AQ$24)*IF(AQ$11&lt;$M$20,$Q$20,$Q$21)*AQ21</f>
        <v>9867.8571428571431</v>
      </c>
      <c r="AT21" s="24">
        <v>0.25</v>
      </c>
      <c r="AU21" s="96">
        <f>(AT$12*AT21)-(AU$25*AT21)</f>
        <v>42</v>
      </c>
      <c r="AV21" s="456">
        <f>(1/AT$24)*IF(AT$11&lt;$M$20,$Q$20,$Q$21)*AT21</f>
        <v>9867.8571428571431</v>
      </c>
      <c r="AW21" s="24">
        <v>0.25</v>
      </c>
      <c r="AX21" s="96">
        <f>(AW$12*AW21)-(AX$25*AW21)</f>
        <v>44</v>
      </c>
      <c r="AY21" s="456">
        <f>(1/AW$24)*IF(AW$11&lt;$M$20,$Q$20,$Q$21)*AW21</f>
        <v>9867.8571428571431</v>
      </c>
      <c r="AZ21" s="24">
        <v>0.25</v>
      </c>
      <c r="BA21" s="96">
        <f>(AZ$12*AZ21)-(BA$25*AZ21)</f>
        <v>46</v>
      </c>
      <c r="BB21" s="456">
        <f>(1/AZ$24)*IF(AZ$11&lt;$M$20,$Q$20,$Q$21)*AZ21</f>
        <v>9867.8571428571431</v>
      </c>
      <c r="BC21" s="285">
        <f>SUM(U21,X21,AA21,AD21,AG21,AJ21,AM21,AP21,AS21,AV21,AY21,BB21)</f>
        <v>118243.85714285716</v>
      </c>
    </row>
    <row r="22" spans="1:55" ht="15" thickBot="1" x14ac:dyDescent="0.35">
      <c r="A22" s="540"/>
      <c r="B22" s="63" t="s">
        <v>9</v>
      </c>
      <c r="C22" s="217" t="s">
        <v>58</v>
      </c>
      <c r="D22" s="171"/>
      <c r="E22" s="4"/>
      <c r="F22" s="182" t="s">
        <v>50</v>
      </c>
      <c r="G22" s="5">
        <v>43831</v>
      </c>
      <c r="H22" s="222">
        <v>44742</v>
      </c>
      <c r="I22" s="222"/>
      <c r="J22" s="222"/>
      <c r="K22" s="18"/>
      <c r="L22" s="20"/>
      <c r="M22" s="22"/>
      <c r="N22" s="22"/>
      <c r="O22" s="22"/>
      <c r="P22" s="22"/>
      <c r="Q22" s="126"/>
      <c r="R22" s="31" t="s">
        <v>9</v>
      </c>
      <c r="S22" s="24">
        <v>0.3</v>
      </c>
      <c r="T22" s="117">
        <f>(S$12*S22)-(T$25*S22)</f>
        <v>50.4</v>
      </c>
      <c r="U22" s="457">
        <f>(1/S$24)*IF(S$11&lt;$M$20,$Q$20,$Q$21)*S22</f>
        <v>11841.428571428571</v>
      </c>
      <c r="V22" s="24">
        <v>0.3</v>
      </c>
      <c r="W22" s="117">
        <f>(V$12*V22)-(W$25*V22)</f>
        <v>39.6</v>
      </c>
      <c r="X22" s="457">
        <f>(1/V$24)*IF(V$11&lt;$M$20,$Q$20,$Q$21)*V22</f>
        <v>11841.428571428571</v>
      </c>
      <c r="Y22" s="24">
        <v>0.3</v>
      </c>
      <c r="Z22" s="117">
        <f>(Y$12*Y22)-(Z$25*Y22)</f>
        <v>55.199999999999996</v>
      </c>
      <c r="AA22" s="457">
        <f>(1/Y$24)*IF(Y$11&lt;$M$20,$Q$20,$Q$21)*Y22</f>
        <v>11841.428571428571</v>
      </c>
      <c r="AB22" s="24">
        <v>0.3</v>
      </c>
      <c r="AC22" s="117">
        <f>(AB$12*AB22)-(AC$25*AB22)</f>
        <v>52.8</v>
      </c>
      <c r="AD22" s="457">
        <f>(1/AB$24)*IF(AB$11&lt;$M$20,$Q$20,$Q$21)*AB22</f>
        <v>11841.428571428571</v>
      </c>
      <c r="AE22" s="24">
        <v>0.3</v>
      </c>
      <c r="AF22" s="117">
        <f>(AE$12*AE22)-(AF$25*AE22)</f>
        <v>50.4</v>
      </c>
      <c r="AG22" s="457">
        <f>(1/AE$24)*IF(AE$11&lt;$M$20,$Q$20,$Q$21)*AE22</f>
        <v>11841.428571428571</v>
      </c>
      <c r="AH22" s="24">
        <v>0.3</v>
      </c>
      <c r="AI22" s="117">
        <f>(AH$12*AH22)-(AI$25*AH22)</f>
        <v>52.8</v>
      </c>
      <c r="AJ22" s="457">
        <f>(1/AH$24)*IF(AH$11&lt;$M$20,$Q$20,$Q$21)*AH22</f>
        <v>11841.428571428571</v>
      </c>
      <c r="AK22" s="24">
        <v>0.3</v>
      </c>
      <c r="AL22" s="117">
        <f>(AK$12*AK22)-(AL$25*AK22)</f>
        <v>36</v>
      </c>
      <c r="AM22" s="457">
        <f>(1/AK$24)*IF(AK$11&lt;$M$20,$Q$20,$Q$21)*AK22</f>
        <v>11841.428571428571</v>
      </c>
      <c r="AN22" s="24">
        <v>0.3</v>
      </c>
      <c r="AO22" s="117">
        <f>(AN$12*AN22)-(AO$25*AN22)</f>
        <v>44.4</v>
      </c>
      <c r="AP22" s="457">
        <f>(1/AN$24)*IF(AN$11&lt;$M$20,$Q$20,$Q$21)*AN22</f>
        <v>11841.428571428571</v>
      </c>
      <c r="AQ22" s="24">
        <v>0.3</v>
      </c>
      <c r="AR22" s="117">
        <f>(AQ$12*AQ22)-(AR$25*AQ22)</f>
        <v>52.8</v>
      </c>
      <c r="AS22" s="457">
        <f>(1/AQ$24)*IF(AQ$11&lt;$M$20,$Q$20,$Q$21)*AQ22</f>
        <v>11841.428571428571</v>
      </c>
      <c r="AT22" s="24">
        <v>0.3</v>
      </c>
      <c r="AU22" s="117">
        <f>(AT$12*AT22)-(AU$25*AT22)</f>
        <v>50.4</v>
      </c>
      <c r="AV22" s="457">
        <f>(1/AT$24)*IF(AT$11&lt;$M$20,$Q$20,$Q$21)*AT22</f>
        <v>11841.428571428571</v>
      </c>
      <c r="AW22" s="24">
        <v>0.3</v>
      </c>
      <c r="AX22" s="117">
        <f>(AW$12*AW22)-(AX$25*AW22)</f>
        <v>52.8</v>
      </c>
      <c r="AY22" s="457">
        <f>(1/AW$24)*IF(AW$11&lt;$M$20,$Q$20,$Q$21)*AW22</f>
        <v>11841.428571428571</v>
      </c>
      <c r="AZ22" s="24">
        <v>0.3</v>
      </c>
      <c r="BA22" s="117">
        <f>(AZ$12*AZ22)-(BA$25*AZ22)</f>
        <v>55.199999999999996</v>
      </c>
      <c r="BB22" s="457">
        <f>(1/AZ$24)*IF(AZ$11&lt;$M$20,$Q$20,$Q$21)*AZ22</f>
        <v>11841.428571428571</v>
      </c>
      <c r="BC22" s="285">
        <f>SUM(U22,X22,AA22,AD22,AG22,AJ22,AM22,AP22,AS22,AV22,AY22,BB22)</f>
        <v>142097.14285714281</v>
      </c>
    </row>
    <row r="23" spans="1:55" ht="15" thickBot="1" x14ac:dyDescent="0.35">
      <c r="A23" s="540"/>
      <c r="B23" s="63" t="s">
        <v>29</v>
      </c>
      <c r="C23" s="217" t="s">
        <v>58</v>
      </c>
      <c r="D23" s="171"/>
      <c r="E23" s="4"/>
      <c r="F23" s="182" t="s">
        <v>50</v>
      </c>
      <c r="G23" s="5">
        <v>44136</v>
      </c>
      <c r="H23" s="168">
        <v>44926</v>
      </c>
      <c r="I23" s="5"/>
      <c r="J23" s="5"/>
      <c r="K23" s="18"/>
      <c r="L23" s="20"/>
      <c r="M23" s="22"/>
      <c r="N23" s="22"/>
      <c r="O23" s="22"/>
      <c r="P23" s="22"/>
      <c r="Q23" s="126"/>
      <c r="R23" s="31" t="s">
        <v>29</v>
      </c>
      <c r="S23" s="24">
        <v>0.1</v>
      </c>
      <c r="T23" s="117">
        <f>(S$12*S23)-(T$25*S23)</f>
        <v>16.8</v>
      </c>
      <c r="U23" s="457">
        <f>(1/S$24)*IF(S$11&lt;$M$20,$Q$20,$Q$21)*S23</f>
        <v>3947.1428571428573</v>
      </c>
      <c r="V23" s="24">
        <v>0.1</v>
      </c>
      <c r="W23" s="117">
        <f>(V$12*V23)-(W$25*V23)</f>
        <v>13.2</v>
      </c>
      <c r="X23" s="457">
        <f>(1/V$24)*IF(V$11&lt;$M$20,$Q$20,$Q$21)*V23</f>
        <v>3947.1428571428573</v>
      </c>
      <c r="Y23" s="24">
        <v>0.1</v>
      </c>
      <c r="Z23" s="117">
        <f>(Y$12*Y23)-(Z$25*Y23)</f>
        <v>18.400000000000002</v>
      </c>
      <c r="AA23" s="457">
        <f>(1/Y$24)*IF(Y$11&lt;$M$20,$Q$20,$Q$21)*Y23</f>
        <v>3947.1428571428573</v>
      </c>
      <c r="AB23" s="24">
        <v>0.1</v>
      </c>
      <c r="AC23" s="117">
        <f>(AB$12*AB23)-(AC$25*AB23)</f>
        <v>17.600000000000001</v>
      </c>
      <c r="AD23" s="457">
        <f>(1/AB$24)*IF(AB$11&lt;$M$20,$Q$20,$Q$21)*AB23</f>
        <v>3947.1428571428573</v>
      </c>
      <c r="AE23" s="24">
        <v>0.1</v>
      </c>
      <c r="AF23" s="117">
        <f>(AE$12*AE23)-(AF$25*AE23)</f>
        <v>16.8</v>
      </c>
      <c r="AG23" s="457">
        <f>(1/AE$24)*IF(AE$11&lt;$M$20,$Q$20,$Q$21)*AE23</f>
        <v>3947.1428571428573</v>
      </c>
      <c r="AH23" s="24">
        <v>0.1</v>
      </c>
      <c r="AI23" s="117">
        <f>(AH$12*AH23)-(AI$25*AH23)</f>
        <v>17.600000000000001</v>
      </c>
      <c r="AJ23" s="457">
        <f>(1/AH$24)*IF(AH$11&lt;$M$20,$Q$20,$Q$21)*AH23</f>
        <v>3947.1428571428573</v>
      </c>
      <c r="AK23" s="24">
        <v>0.1</v>
      </c>
      <c r="AL23" s="117">
        <f>(AK$12*AK23)-(AL$25*AK23)</f>
        <v>12</v>
      </c>
      <c r="AM23" s="457">
        <f>(1/AK$24)*IF(AK$11&lt;$M$20,$Q$20,$Q$21)*AK23</f>
        <v>3947.1428571428573</v>
      </c>
      <c r="AN23" s="24">
        <v>0.1</v>
      </c>
      <c r="AO23" s="117">
        <f>(AN$12*AN23)-(AO$25*AN23)</f>
        <v>14.8</v>
      </c>
      <c r="AP23" s="457">
        <f>(1/AN$24)*IF(AN$11&lt;$M$20,$Q$20,$Q$21)*AN23</f>
        <v>3947.1428571428573</v>
      </c>
      <c r="AQ23" s="24">
        <v>0.1</v>
      </c>
      <c r="AR23" s="117">
        <f>(AQ$12*AQ23)-(AR$25*AQ23)</f>
        <v>17.600000000000001</v>
      </c>
      <c r="AS23" s="457">
        <f>(1/AQ$24)*IF(AQ$11&lt;$M$20,$Q$20,$Q$21)*AQ23</f>
        <v>3947.1428571428573</v>
      </c>
      <c r="AT23" s="24">
        <v>0.1</v>
      </c>
      <c r="AU23" s="117">
        <f>(AT$12*AT23)-(AU$25*AT23)</f>
        <v>16.8</v>
      </c>
      <c r="AV23" s="457">
        <f>(1/AT$24)*IF(AT$11&lt;$M$20,$Q$20,$Q$21)*AT23</f>
        <v>3947.1428571428573</v>
      </c>
      <c r="AW23" s="24">
        <v>0.1</v>
      </c>
      <c r="AX23" s="117">
        <f>(AW$12*AW23)-(AX$25*AW23)</f>
        <v>17.600000000000001</v>
      </c>
      <c r="AY23" s="457">
        <f>(1/AW$24)*IF(AW$11&lt;$M$20,$Q$20,$Q$21)*AW23</f>
        <v>3947.1428571428573</v>
      </c>
      <c r="AZ23" s="24">
        <v>0.1</v>
      </c>
      <c r="BA23" s="117">
        <f>(AZ$12*AZ23)-(BA$25*AZ23)</f>
        <v>18.400000000000002</v>
      </c>
      <c r="BB23" s="457">
        <f>(1/AZ$24)*IF(AZ$11&lt;$M$20,$Q$20,$Q$21)*AZ23</f>
        <v>3947.1428571428573</v>
      </c>
      <c r="BC23" s="285">
        <f>SUM(U23,X23,AA23,AD23,AG23,AJ23,AM23,AP23,AS23,AV23,AY23,BB23)</f>
        <v>47365.714285714283</v>
      </c>
    </row>
    <row r="24" spans="1:55" ht="15" thickBot="1" x14ac:dyDescent="0.35">
      <c r="A24" s="540"/>
      <c r="B24" s="63" t="s">
        <v>36</v>
      </c>
      <c r="C24" s="197"/>
      <c r="D24" s="172"/>
      <c r="E24" s="69"/>
      <c r="F24" s="183"/>
      <c r="G24" s="84"/>
      <c r="H24" s="223"/>
      <c r="I24" s="223"/>
      <c r="J24" s="223"/>
      <c r="K24" s="85"/>
      <c r="L24" s="20"/>
      <c r="M24" s="22"/>
      <c r="N24" s="22"/>
      <c r="O24" s="22"/>
      <c r="P24" s="22"/>
      <c r="Q24" s="126"/>
      <c r="R24" s="104" t="s">
        <v>36</v>
      </c>
      <c r="S24" s="82">
        <f t="shared" ref="S24:U24" si="31">SUM(S20:S23)</f>
        <v>0.7</v>
      </c>
      <c r="T24" s="105">
        <f t="shared" si="31"/>
        <v>117.6</v>
      </c>
      <c r="U24" s="83">
        <f t="shared" si="31"/>
        <v>27630.142857142859</v>
      </c>
      <c r="V24" s="82">
        <f t="shared" ref="V24:BB24" si="32">SUM(V20:V23)</f>
        <v>0.7</v>
      </c>
      <c r="W24" s="105">
        <f t="shared" si="32"/>
        <v>92.4</v>
      </c>
      <c r="X24" s="83">
        <f t="shared" si="32"/>
        <v>27459.142857142859</v>
      </c>
      <c r="Y24" s="82">
        <f t="shared" si="32"/>
        <v>0.7</v>
      </c>
      <c r="Z24" s="105">
        <f t="shared" si="32"/>
        <v>128.80000000000001</v>
      </c>
      <c r="AA24" s="83">
        <f t="shared" si="32"/>
        <v>27630.142857142859</v>
      </c>
      <c r="AB24" s="82">
        <f t="shared" si="32"/>
        <v>0.7</v>
      </c>
      <c r="AC24" s="105">
        <f t="shared" si="32"/>
        <v>123.19999999999999</v>
      </c>
      <c r="AD24" s="83">
        <f t="shared" si="32"/>
        <v>27630.142857142859</v>
      </c>
      <c r="AE24" s="82">
        <f t="shared" si="32"/>
        <v>0.7</v>
      </c>
      <c r="AF24" s="105">
        <f t="shared" si="32"/>
        <v>117.6</v>
      </c>
      <c r="AG24" s="83">
        <f t="shared" si="32"/>
        <v>27630.000000000004</v>
      </c>
      <c r="AH24" s="82">
        <f t="shared" si="32"/>
        <v>0.7</v>
      </c>
      <c r="AI24" s="105">
        <f t="shared" si="32"/>
        <v>123.19999999999999</v>
      </c>
      <c r="AJ24" s="83">
        <f t="shared" si="32"/>
        <v>27630.000000000004</v>
      </c>
      <c r="AK24" s="82">
        <f t="shared" si="32"/>
        <v>0.7</v>
      </c>
      <c r="AL24" s="105">
        <f t="shared" si="32"/>
        <v>84</v>
      </c>
      <c r="AM24" s="83">
        <f t="shared" si="32"/>
        <v>27630.000000000004</v>
      </c>
      <c r="AN24" s="82">
        <f t="shared" si="32"/>
        <v>0.7</v>
      </c>
      <c r="AO24" s="105">
        <f t="shared" si="32"/>
        <v>103.6</v>
      </c>
      <c r="AP24" s="83">
        <f t="shared" si="32"/>
        <v>27630.000000000004</v>
      </c>
      <c r="AQ24" s="82">
        <f t="shared" si="32"/>
        <v>0.7</v>
      </c>
      <c r="AR24" s="105">
        <f t="shared" si="32"/>
        <v>123.19999999999999</v>
      </c>
      <c r="AS24" s="83">
        <f t="shared" si="32"/>
        <v>27630.000000000004</v>
      </c>
      <c r="AT24" s="82">
        <f t="shared" si="32"/>
        <v>0.7</v>
      </c>
      <c r="AU24" s="105">
        <f t="shared" si="32"/>
        <v>117.6</v>
      </c>
      <c r="AV24" s="83">
        <f t="shared" si="32"/>
        <v>27630.000000000004</v>
      </c>
      <c r="AW24" s="82">
        <f t="shared" si="32"/>
        <v>0.7</v>
      </c>
      <c r="AX24" s="105">
        <f t="shared" si="32"/>
        <v>123.19999999999999</v>
      </c>
      <c r="AY24" s="83">
        <f t="shared" si="32"/>
        <v>27630.000000000004</v>
      </c>
      <c r="AZ24" s="82">
        <f t="shared" si="32"/>
        <v>0.7</v>
      </c>
      <c r="BA24" s="105">
        <f t="shared" si="32"/>
        <v>128.80000000000001</v>
      </c>
      <c r="BB24" s="83">
        <f t="shared" si="32"/>
        <v>27630.000000000004</v>
      </c>
      <c r="BC24" s="285">
        <f>SUM(U24,X24,AA24,AD24,AG24,AJ24,AM24,AP24,AS24,AV24,AY24,BB24)</f>
        <v>331389.57142857148</v>
      </c>
    </row>
    <row r="25" spans="1:55" ht="15" thickBot="1" x14ac:dyDescent="0.35">
      <c r="A25" s="541"/>
      <c r="B25" s="340" t="s">
        <v>27</v>
      </c>
      <c r="C25" s="218"/>
      <c r="D25" s="173"/>
      <c r="E25" s="6"/>
      <c r="F25" s="184"/>
      <c r="G25" s="8"/>
      <c r="H25" s="224"/>
      <c r="I25" s="224"/>
      <c r="J25" s="224"/>
      <c r="K25" s="16"/>
      <c r="L25" s="29"/>
      <c r="M25" s="108"/>
      <c r="N25" s="108"/>
      <c r="O25" s="108"/>
      <c r="P25" s="108"/>
      <c r="Q25" s="127"/>
      <c r="R25" s="343" t="s">
        <v>27</v>
      </c>
      <c r="S25" s="25"/>
      <c r="T25" s="78">
        <f>S25*8*S24</f>
        <v>0</v>
      </c>
      <c r="U25" s="13"/>
      <c r="V25" s="25">
        <v>5</v>
      </c>
      <c r="W25" s="78">
        <f t="shared" ref="W25" si="33">V25*8*V24</f>
        <v>28</v>
      </c>
      <c r="X25" s="13"/>
      <c r="Y25" s="25"/>
      <c r="Z25" s="78">
        <f t="shared" ref="Z25" si="34">Y25*8*Y24</f>
        <v>0</v>
      </c>
      <c r="AA25" s="13"/>
      <c r="AB25" s="25"/>
      <c r="AC25" s="78">
        <f t="shared" ref="AC25" si="35">AB25*8*AB24</f>
        <v>0</v>
      </c>
      <c r="AD25" s="13"/>
      <c r="AE25" s="25"/>
      <c r="AF25" s="78">
        <f t="shared" ref="AF25" si="36">AE25*8*AE24</f>
        <v>0</v>
      </c>
      <c r="AG25" s="13"/>
      <c r="AH25" s="25"/>
      <c r="AI25" s="78">
        <f t="shared" ref="AI25" si="37">AH25*8*AH24</f>
        <v>0</v>
      </c>
      <c r="AJ25" s="13"/>
      <c r="AK25" s="25">
        <v>10</v>
      </c>
      <c r="AL25" s="78">
        <f t="shared" ref="AL25" si="38">AK25*8*AK24</f>
        <v>56</v>
      </c>
      <c r="AM25" s="13"/>
      <c r="AN25" s="25">
        <v>5</v>
      </c>
      <c r="AO25" s="78">
        <f t="shared" ref="AO25" si="39">AN25*8*AN24</f>
        <v>28</v>
      </c>
      <c r="AP25" s="13"/>
      <c r="AQ25" s="25"/>
      <c r="AR25" s="78">
        <f t="shared" ref="AR25" si="40">AQ25*8*AQ24</f>
        <v>0</v>
      </c>
      <c r="AS25" s="13"/>
      <c r="AT25" s="25"/>
      <c r="AU25" s="78">
        <f t="shared" ref="AU25" si="41">AT25*8*AT24</f>
        <v>0</v>
      </c>
      <c r="AV25" s="13"/>
      <c r="AW25" s="25"/>
      <c r="AX25" s="78">
        <f t="shared" ref="AX25" si="42">AW25*8*AW24</f>
        <v>0</v>
      </c>
      <c r="AY25" s="13"/>
      <c r="AZ25" s="25"/>
      <c r="BA25" s="78">
        <f t="shared" ref="BA25" si="43">AZ25*8*AZ24</f>
        <v>0</v>
      </c>
      <c r="BB25" s="13"/>
      <c r="BC25" s="344">
        <f>(25+'PŘEHLED 2020'!BA17)-(S25+V25+Y25+AB25+AE25+AH25+AK25+AN25+AQ25+AT25+AW25+AZ25)</f>
        <v>9</v>
      </c>
    </row>
    <row r="26" spans="1:55" ht="15" thickBot="1" x14ac:dyDescent="0.35">
      <c r="A26" s="545" t="s">
        <v>63</v>
      </c>
      <c r="B26" s="166" t="s">
        <v>7</v>
      </c>
      <c r="C26" s="167" t="s">
        <v>58</v>
      </c>
      <c r="D26" s="174">
        <v>0</v>
      </c>
      <c r="E26" s="9"/>
      <c r="F26" s="185" t="s">
        <v>50</v>
      </c>
      <c r="G26" s="10">
        <v>44075</v>
      </c>
      <c r="H26" s="225"/>
      <c r="I26" s="225"/>
      <c r="J26" s="225"/>
      <c r="K26" s="17"/>
      <c r="L26" s="110">
        <v>44197</v>
      </c>
      <c r="M26" s="5">
        <v>44561</v>
      </c>
      <c r="N26" s="109" t="s">
        <v>92</v>
      </c>
      <c r="O26" s="22">
        <v>29340</v>
      </c>
      <c r="P26" s="22">
        <v>8300</v>
      </c>
      <c r="Q26" s="23">
        <f>P26+O26</f>
        <v>37640</v>
      </c>
      <c r="R26" s="39" t="s">
        <v>7</v>
      </c>
      <c r="S26" s="26">
        <v>0.05</v>
      </c>
      <c r="T26" s="214">
        <f>(S$12*S26)-(T$25*S26)</f>
        <v>8.4</v>
      </c>
      <c r="U26" s="21">
        <f>IF(S$11&lt;$M$26,$Q$26,$Q$27)*S26</f>
        <v>1882</v>
      </c>
      <c r="V26" s="26">
        <v>0.05</v>
      </c>
      <c r="W26" s="214">
        <f>(V$12*V26)-(W$25*V26)</f>
        <v>6.6</v>
      </c>
      <c r="X26" s="21">
        <f>IF(V$11&lt;$M$26,$Q$26,$Q$27)*V26</f>
        <v>1882</v>
      </c>
      <c r="Y26" s="26">
        <v>0.05</v>
      </c>
      <c r="Z26" s="214">
        <f>(Y$12*Y26)-(Z$25*Y26)</f>
        <v>9.2000000000000011</v>
      </c>
      <c r="AA26" s="21">
        <f>IF(Y$11&lt;$M$26,$Q$26,$Q$27)*Y26</f>
        <v>1882</v>
      </c>
      <c r="AB26" s="26">
        <v>0.05</v>
      </c>
      <c r="AC26" s="214">
        <f>(AB$12*AB26)-(AC$25*AB26)</f>
        <v>8.8000000000000007</v>
      </c>
      <c r="AD26" s="21">
        <f>IF(AB$11&lt;$M$26,$Q$26,$Q$27)*AB26</f>
        <v>1882</v>
      </c>
      <c r="AE26" s="26">
        <v>0.05</v>
      </c>
      <c r="AF26" s="214">
        <f>(AE$12*AE26)-(AF$25*AE26)</f>
        <v>8.4</v>
      </c>
      <c r="AG26" s="21">
        <f>IF(AE$11&lt;$M$26,$Q$26,$Q$27)*AE26</f>
        <v>1882</v>
      </c>
      <c r="AH26" s="26">
        <v>0.05</v>
      </c>
      <c r="AI26" s="214">
        <f>(AH$12*AH26)-(AI$25*AH26)</f>
        <v>8.8000000000000007</v>
      </c>
      <c r="AJ26" s="21">
        <f>IF(AH$11&lt;$M$26,$Q$26,$Q$27)*AH26</f>
        <v>1882</v>
      </c>
      <c r="AK26" s="26">
        <v>0.05</v>
      </c>
      <c r="AL26" s="214">
        <f>(AK$12*AK26)-(AL$25*AK26)</f>
        <v>6</v>
      </c>
      <c r="AM26" s="21">
        <f>IF(AK$11&lt;$M$26,$Q$26,$Q$27)*AK26</f>
        <v>1882</v>
      </c>
      <c r="AN26" s="26">
        <v>0.05</v>
      </c>
      <c r="AO26" s="214">
        <f>(AN$12*AN26)-(AO$25*AN26)</f>
        <v>7.4</v>
      </c>
      <c r="AP26" s="21">
        <f>IF(AN$11&lt;$M$26,$Q$26,$Q$27)*AN26</f>
        <v>1882</v>
      </c>
      <c r="AQ26" s="26">
        <v>0.05</v>
      </c>
      <c r="AR26" s="214">
        <f>(AQ$12*AQ26)-(AR$25*AQ26)</f>
        <v>8.8000000000000007</v>
      </c>
      <c r="AS26" s="21">
        <f>IF(AQ$11&lt;$M$26,$Q$26,$Q$27)*AQ26</f>
        <v>1882</v>
      </c>
      <c r="AT26" s="26">
        <v>0.05</v>
      </c>
      <c r="AU26" s="214">
        <f>(AT$12*AT26)-(AU$25*AT26)</f>
        <v>8.4</v>
      </c>
      <c r="AV26" s="21">
        <f>IF(AT$11&lt;$M$26,$Q$26,$Q$27)*AT26</f>
        <v>1882</v>
      </c>
      <c r="AW26" s="26">
        <v>0.05</v>
      </c>
      <c r="AX26" s="214">
        <f>(AW$12*AW26)-(AX$25*AW26)</f>
        <v>8.8000000000000007</v>
      </c>
      <c r="AY26" s="21">
        <f>IF(AW$11&lt;$M$26,$Q$26,$Q$27)*AW26</f>
        <v>1882</v>
      </c>
      <c r="AZ26" s="26">
        <v>0.05</v>
      </c>
      <c r="BA26" s="214">
        <f>(AZ$12*AZ26)-(BA$25*AZ26)</f>
        <v>9.2000000000000011</v>
      </c>
      <c r="BB26" s="21">
        <f>IF(AZ$11&lt;$M$26,$Q$26,$Q$27)*AZ26</f>
        <v>1882</v>
      </c>
      <c r="BC26" s="285">
        <f>SUM(U26,X26,AA26,AD26,AG26,AJ26,AM26,AP26,AS26,AV26,AY26,BB26)</f>
        <v>22584</v>
      </c>
    </row>
    <row r="27" spans="1:55" ht="15" thickBot="1" x14ac:dyDescent="0.35">
      <c r="A27" s="545"/>
      <c r="B27" s="63" t="s">
        <v>9</v>
      </c>
      <c r="C27" s="158" t="s">
        <v>58</v>
      </c>
      <c r="D27" s="171"/>
      <c r="E27" s="4"/>
      <c r="F27" s="185" t="s">
        <v>50</v>
      </c>
      <c r="G27" s="10">
        <v>44075</v>
      </c>
      <c r="H27" s="222">
        <v>44742</v>
      </c>
      <c r="I27" s="222"/>
      <c r="J27" s="222"/>
      <c r="K27" s="18"/>
      <c r="L27" s="20"/>
      <c r="M27" s="22"/>
      <c r="N27" s="107"/>
      <c r="O27" s="22"/>
      <c r="P27" s="22"/>
      <c r="Q27" s="23"/>
      <c r="R27" s="39" t="s">
        <v>9</v>
      </c>
      <c r="S27" s="450">
        <v>0.95</v>
      </c>
      <c r="T27" s="117">
        <f>(S$12*S27)-(T$29*S27)</f>
        <v>159.6</v>
      </c>
      <c r="U27" s="21">
        <f>IF(S$11&lt;$M$26,$Q$26,$Q$27)*S27</f>
        <v>35758</v>
      </c>
      <c r="V27" s="24">
        <v>0.95</v>
      </c>
      <c r="W27" s="117">
        <f>(V$12*V27)-(W$29*V27)</f>
        <v>144.4</v>
      </c>
      <c r="X27" s="21">
        <f>IF(V$11&lt;$M$26,$Q$26,$Q$27)*V27</f>
        <v>35758</v>
      </c>
      <c r="Y27" s="24">
        <v>0.95</v>
      </c>
      <c r="Z27" s="117">
        <f>(Y$12*Y27)-(Z$29*Y27)</f>
        <v>174.79999999999998</v>
      </c>
      <c r="AA27" s="21">
        <f>IF(Y$11&lt;$M$26,$Q$26,$Q$27)*Y27</f>
        <v>35758</v>
      </c>
      <c r="AB27" s="24">
        <v>0.95</v>
      </c>
      <c r="AC27" s="117">
        <f>(AB$12*AB27)-(AC$29*AB27)</f>
        <v>167.2</v>
      </c>
      <c r="AD27" s="21">
        <f>IF(AB$11&lt;$M$26,$Q$26,$Q$27)*AB27</f>
        <v>35758</v>
      </c>
      <c r="AE27" s="24">
        <v>0.95</v>
      </c>
      <c r="AF27" s="117">
        <f>(AE$12*AE27)-(AF$29*AE27)</f>
        <v>152</v>
      </c>
      <c r="AG27" s="21">
        <f>IF(AE$11&lt;$M$26,$Q$26,$Q$27)*AE27</f>
        <v>35758</v>
      </c>
      <c r="AH27" s="24">
        <v>0.95</v>
      </c>
      <c r="AI27" s="117">
        <f>(AH$12*AH27)-(AI$29*AH27)</f>
        <v>159.6</v>
      </c>
      <c r="AJ27" s="21">
        <f>IF(AH$11&lt;$M$26,$Q$26,$Q$27)*AH27</f>
        <v>35758</v>
      </c>
      <c r="AK27" s="24">
        <v>0.95</v>
      </c>
      <c r="AL27" s="117">
        <f>(AK$12*AK27)-(AL$29*AK27)</f>
        <v>136.79999999999998</v>
      </c>
      <c r="AM27" s="21">
        <f>IF(AK$11&lt;$M$26,$Q$26,$Q$27)*AK27</f>
        <v>35758</v>
      </c>
      <c r="AN27" s="24">
        <v>0.95</v>
      </c>
      <c r="AO27" s="117">
        <f>(AN$12*AN27)-(AO$29*AN27)</f>
        <v>121.6</v>
      </c>
      <c r="AP27" s="21">
        <f>IF(AN$11&lt;$M$26,$Q$26,$Q$27)*AN27</f>
        <v>35758</v>
      </c>
      <c r="AQ27" s="24">
        <v>0.95</v>
      </c>
      <c r="AR27" s="117">
        <f>(AQ$12*AQ27)-(AR$29*AQ27)</f>
        <v>144.39999999999998</v>
      </c>
      <c r="AS27" s="21">
        <f>IF(AQ$11&lt;$M$26,$Q$26,$Q$27)*AQ27</f>
        <v>35758</v>
      </c>
      <c r="AT27" s="24">
        <v>0.95</v>
      </c>
      <c r="AU27" s="117">
        <f>(AT$12*AT27)-(AU$29*AT27)</f>
        <v>159.6</v>
      </c>
      <c r="AV27" s="21">
        <f>IF(AT$11&lt;$M$26,$Q$26,$Q$27)*AT27</f>
        <v>35758</v>
      </c>
      <c r="AW27" s="24">
        <v>0.95</v>
      </c>
      <c r="AX27" s="117">
        <f t="shared" ref="AX27" si="44">(AW$12*AW27)-(AX$29*AW27)</f>
        <v>167.2</v>
      </c>
      <c r="AY27" s="21">
        <f t="shared" ref="AY27" si="45">IF(AW$11&lt;$M$26,$Q$26,$Q$27)*AW27</f>
        <v>35758</v>
      </c>
      <c r="AZ27" s="24">
        <v>0.95</v>
      </c>
      <c r="BA27" s="117">
        <f t="shared" ref="BA27" si="46">(AZ$12*AZ27)-(BA$29*AZ27)</f>
        <v>174.79999999999998</v>
      </c>
      <c r="BB27" s="21">
        <f t="shared" ref="BB27" si="47">IF(AZ$11&lt;$M$26,$Q$26,$Q$27)*AZ27</f>
        <v>35758</v>
      </c>
      <c r="BC27" s="285">
        <f t="shared" ref="BC27:BC100" si="48">SUM(U27,X27,AA27,AD27,AG27,AJ27,AM27,AP27,AS27,AV27,AY27,BB27)</f>
        <v>429096</v>
      </c>
    </row>
    <row r="28" spans="1:55" ht="15" thickBot="1" x14ac:dyDescent="0.35">
      <c r="A28" s="545"/>
      <c r="B28" s="63" t="s">
        <v>36</v>
      </c>
      <c r="C28" s="156"/>
      <c r="D28" s="171"/>
      <c r="E28" s="4"/>
      <c r="F28" s="182"/>
      <c r="G28" s="5"/>
      <c r="H28" s="222"/>
      <c r="I28" s="222"/>
      <c r="J28" s="222"/>
      <c r="K28" s="18"/>
      <c r="L28" s="20"/>
      <c r="M28" s="22"/>
      <c r="N28" s="107"/>
      <c r="O28" s="22"/>
      <c r="P28" s="22"/>
      <c r="Q28" s="23"/>
      <c r="R28" s="39" t="s">
        <v>36</v>
      </c>
      <c r="S28" s="27">
        <f t="shared" ref="S28:BB28" si="49">SUM(S26:S27)</f>
        <v>1</v>
      </c>
      <c r="T28" s="77">
        <f t="shared" si="49"/>
        <v>168</v>
      </c>
      <c r="U28" s="28">
        <f t="shared" si="49"/>
        <v>37640</v>
      </c>
      <c r="V28" s="27">
        <f t="shared" si="49"/>
        <v>1</v>
      </c>
      <c r="W28" s="77">
        <f t="shared" si="49"/>
        <v>151</v>
      </c>
      <c r="X28" s="28">
        <f t="shared" si="49"/>
        <v>37640</v>
      </c>
      <c r="Y28" s="27">
        <f t="shared" si="49"/>
        <v>1</v>
      </c>
      <c r="Z28" s="77">
        <f t="shared" si="49"/>
        <v>183.99999999999997</v>
      </c>
      <c r="AA28" s="28">
        <f t="shared" si="49"/>
        <v>37640</v>
      </c>
      <c r="AB28" s="27">
        <f t="shared" si="49"/>
        <v>1</v>
      </c>
      <c r="AC28" s="77">
        <f t="shared" si="49"/>
        <v>176</v>
      </c>
      <c r="AD28" s="28">
        <f t="shared" si="49"/>
        <v>37640</v>
      </c>
      <c r="AE28" s="27">
        <f t="shared" si="49"/>
        <v>1</v>
      </c>
      <c r="AF28" s="77">
        <f t="shared" si="49"/>
        <v>160.4</v>
      </c>
      <c r="AG28" s="28">
        <f t="shared" si="49"/>
        <v>37640</v>
      </c>
      <c r="AH28" s="27">
        <f t="shared" si="49"/>
        <v>1</v>
      </c>
      <c r="AI28" s="77">
        <f t="shared" si="49"/>
        <v>168.4</v>
      </c>
      <c r="AJ28" s="28">
        <f t="shared" si="49"/>
        <v>37640</v>
      </c>
      <c r="AK28" s="27">
        <f t="shared" si="49"/>
        <v>1</v>
      </c>
      <c r="AL28" s="77">
        <f t="shared" si="49"/>
        <v>142.79999999999998</v>
      </c>
      <c r="AM28" s="28">
        <f t="shared" si="49"/>
        <v>37640</v>
      </c>
      <c r="AN28" s="27">
        <f t="shared" si="49"/>
        <v>1</v>
      </c>
      <c r="AO28" s="77">
        <f t="shared" si="49"/>
        <v>129</v>
      </c>
      <c r="AP28" s="28">
        <f t="shared" si="49"/>
        <v>37640</v>
      </c>
      <c r="AQ28" s="27">
        <f t="shared" si="49"/>
        <v>1</v>
      </c>
      <c r="AR28" s="77">
        <f t="shared" si="49"/>
        <v>153.19999999999999</v>
      </c>
      <c r="AS28" s="28">
        <f t="shared" si="49"/>
        <v>37640</v>
      </c>
      <c r="AT28" s="27">
        <f t="shared" si="49"/>
        <v>1</v>
      </c>
      <c r="AU28" s="77">
        <f t="shared" si="49"/>
        <v>168</v>
      </c>
      <c r="AV28" s="28">
        <f t="shared" si="49"/>
        <v>37640</v>
      </c>
      <c r="AW28" s="27">
        <f t="shared" si="49"/>
        <v>1</v>
      </c>
      <c r="AX28" s="77">
        <f t="shared" si="49"/>
        <v>176</v>
      </c>
      <c r="AY28" s="28">
        <f t="shared" si="49"/>
        <v>37640</v>
      </c>
      <c r="AZ28" s="27">
        <f t="shared" si="49"/>
        <v>1</v>
      </c>
      <c r="BA28" s="77">
        <f t="shared" si="49"/>
        <v>183.99999999999997</v>
      </c>
      <c r="BB28" s="28">
        <f t="shared" si="49"/>
        <v>37640</v>
      </c>
      <c r="BC28" s="285">
        <f t="shared" si="48"/>
        <v>451680</v>
      </c>
    </row>
    <row r="29" spans="1:55" ht="15" thickBot="1" x14ac:dyDescent="0.35">
      <c r="A29" s="546"/>
      <c r="B29" s="340" t="s">
        <v>27</v>
      </c>
      <c r="C29" s="157"/>
      <c r="D29" s="173"/>
      <c r="E29" s="6"/>
      <c r="F29" s="184"/>
      <c r="G29" s="8"/>
      <c r="H29" s="224"/>
      <c r="I29" s="224"/>
      <c r="J29" s="224"/>
      <c r="K29" s="16"/>
      <c r="L29" s="29"/>
      <c r="M29" s="108"/>
      <c r="N29" s="111"/>
      <c r="O29" s="108"/>
      <c r="P29" s="108"/>
      <c r="Q29" s="99"/>
      <c r="R29" s="342" t="s">
        <v>27</v>
      </c>
      <c r="S29" s="25"/>
      <c r="T29" s="78">
        <f>S29*8*S28</f>
        <v>0</v>
      </c>
      <c r="U29" s="13"/>
      <c r="V29" s="25">
        <v>1</v>
      </c>
      <c r="W29" s="78">
        <f>V29*8*V28</f>
        <v>8</v>
      </c>
      <c r="X29" s="13"/>
      <c r="Y29" s="25"/>
      <c r="Z29" s="78">
        <f t="shared" ref="Z29" si="50">Y29*8*Y28</f>
        <v>0</v>
      </c>
      <c r="AA29" s="13"/>
      <c r="AB29" s="25"/>
      <c r="AC29" s="78">
        <f t="shared" ref="AC29" si="51">AB29*8*AB28</f>
        <v>0</v>
      </c>
      <c r="AD29" s="13"/>
      <c r="AE29" s="25">
        <v>1</v>
      </c>
      <c r="AF29" s="78">
        <f t="shared" ref="AF29" si="52">AE29*8*AE28</f>
        <v>8</v>
      </c>
      <c r="AG29" s="13"/>
      <c r="AH29" s="25">
        <v>1</v>
      </c>
      <c r="AI29" s="78">
        <f t="shared" ref="AI29" si="53">AH29*8*AH28</f>
        <v>8</v>
      </c>
      <c r="AJ29" s="13"/>
      <c r="AK29" s="25">
        <v>4</v>
      </c>
      <c r="AL29" s="78">
        <f t="shared" ref="AL29" si="54">AK29*8*AK28</f>
        <v>32</v>
      </c>
      <c r="AM29" s="13"/>
      <c r="AN29" s="25">
        <v>6</v>
      </c>
      <c r="AO29" s="78">
        <f t="shared" ref="AO29" si="55">AN29*8*AN28</f>
        <v>48</v>
      </c>
      <c r="AP29" s="13"/>
      <c r="AQ29" s="25">
        <v>3</v>
      </c>
      <c r="AR29" s="78">
        <f t="shared" ref="AR29" si="56">AQ29*8*AQ28</f>
        <v>24</v>
      </c>
      <c r="AS29" s="13"/>
      <c r="AT29" s="25"/>
      <c r="AU29" s="78">
        <f t="shared" ref="AU29" si="57">AT29*8*AT28</f>
        <v>0</v>
      </c>
      <c r="AV29" s="13"/>
      <c r="AW29" s="25"/>
      <c r="AX29" s="78">
        <f t="shared" ref="AX29" si="58">AW29*8*AW28</f>
        <v>0</v>
      </c>
      <c r="AY29" s="13"/>
      <c r="AZ29" s="25"/>
      <c r="BA29" s="78">
        <f t="shared" ref="BA29" si="59">AZ29*8*AZ28</f>
        <v>0</v>
      </c>
      <c r="BB29" s="13"/>
      <c r="BC29" s="344">
        <f>(25+'PŘEHLED 2020'!BA21)-(S29+V29+Y29+AB29+AE29+AH29+AK29+AN29+AQ29+AT29+AW29+AZ29)</f>
        <v>9</v>
      </c>
    </row>
    <row r="30" spans="1:55" ht="15" thickBot="1" x14ac:dyDescent="0.35">
      <c r="A30" s="574" t="s">
        <v>64</v>
      </c>
      <c r="B30" s="63" t="s">
        <v>7</v>
      </c>
      <c r="C30" s="158" t="s">
        <v>58</v>
      </c>
      <c r="D30" s="174">
        <v>0.4</v>
      </c>
      <c r="E30" s="9" t="s">
        <v>2</v>
      </c>
      <c r="F30" s="186" t="s">
        <v>50</v>
      </c>
      <c r="G30" s="10">
        <v>42522</v>
      </c>
      <c r="H30" s="225"/>
      <c r="I30" s="225"/>
      <c r="J30" s="225"/>
      <c r="K30" s="17"/>
      <c r="L30" s="110">
        <v>43952</v>
      </c>
      <c r="M30" s="5">
        <v>44561</v>
      </c>
      <c r="N30" s="109" t="s">
        <v>48</v>
      </c>
      <c r="O30" s="22">
        <f>5900+1475+14750</f>
        <v>22125</v>
      </c>
      <c r="P30" s="22">
        <f>1710+428+4275</f>
        <v>6413</v>
      </c>
      <c r="Q30" s="23">
        <f>P30+O30</f>
        <v>28538</v>
      </c>
      <c r="R30" s="63" t="s">
        <v>7</v>
      </c>
      <c r="S30" s="24">
        <v>0.05</v>
      </c>
      <c r="T30" s="117">
        <f>(S$12*S30)-(T$35*S30)</f>
        <v>8.4</v>
      </c>
      <c r="U30" s="458">
        <f>(1/S$34)*IF(S$11&lt;$M$30,$Q$30,$Q$32)*S30</f>
        <v>1902.5333333333333</v>
      </c>
      <c r="V30" s="24">
        <v>0.05</v>
      </c>
      <c r="W30" s="117">
        <f>(V$12*V30)-(W$35*V30)</f>
        <v>6.8</v>
      </c>
      <c r="X30" s="458">
        <f>(1/V$34)*IF(V$11&lt;$M$30,$Q$30,$Q$32)*V30</f>
        <v>1902.5333333333333</v>
      </c>
      <c r="Y30" s="24">
        <v>0.05</v>
      </c>
      <c r="Z30" s="117">
        <f>(Y$12*Y30)-(Z$35*Y30)</f>
        <v>9.2000000000000011</v>
      </c>
      <c r="AA30" s="458">
        <f>(1/Y$34)*IF(Y$11&lt;$M$30,$Q$30,$Q$32)*Y30</f>
        <v>1902.5333333333333</v>
      </c>
      <c r="AB30" s="24">
        <v>0.05</v>
      </c>
      <c r="AC30" s="117">
        <f>(AB$12*AB30)-(AC$35*AB30)</f>
        <v>8.8000000000000007</v>
      </c>
      <c r="AD30" s="458">
        <f>(1/AB$34)*IF(AB$11&lt;$M$30,$Q$30,$Q$32)*AB30</f>
        <v>1902.5333333333333</v>
      </c>
      <c r="AE30" s="24">
        <v>0.05</v>
      </c>
      <c r="AF30" s="117">
        <f>(AE$12*AE30)-(AF$35*AE30)</f>
        <v>8.4</v>
      </c>
      <c r="AG30" s="458">
        <f>(1/AE$34)*IF(AE$11&lt;$M$30,$Q$30,$Q$32)*AE30</f>
        <v>1902.5333333333333</v>
      </c>
      <c r="AH30" s="24">
        <v>0.05</v>
      </c>
      <c r="AI30" s="117">
        <f>(AH$12*AH30)-(AI$35*AH30)</f>
        <v>8.8000000000000007</v>
      </c>
      <c r="AJ30" s="458">
        <f>(1/AH$34)*IF(AH$11&lt;$M$30,$Q$30,$Q$32)*AH30</f>
        <v>1902.5333333333333</v>
      </c>
      <c r="AK30" s="24">
        <v>0.05</v>
      </c>
      <c r="AL30" s="117">
        <f>(AK$12*AK30)-(AL$35*AK30)</f>
        <v>7.3000000000000007</v>
      </c>
      <c r="AM30" s="458">
        <f>(1/AK$34)*IF(AK$11&lt;$M$30,$Q$30,$Q$32)*AK30</f>
        <v>1902.5333333333333</v>
      </c>
      <c r="AN30" s="24">
        <v>0.05</v>
      </c>
      <c r="AO30" s="117">
        <f>(AN$12*AN30)-(AO$35*AN30)</f>
        <v>7.9</v>
      </c>
      <c r="AP30" s="458">
        <f>(1/AN$34)*IF(AN$11&lt;$M$30,$Q$30,$Q$32)*AN30</f>
        <v>1902.5333333333333</v>
      </c>
      <c r="AQ30" s="24">
        <v>0.05</v>
      </c>
      <c r="AR30" s="117">
        <f>(AQ$12*AQ30)-(AR$35*AQ30)</f>
        <v>8.8000000000000007</v>
      </c>
      <c r="AS30" s="458">
        <f>(1/AQ$34)*IF(AQ$11&lt;$M$30,$Q$30,$Q$32)*AQ30</f>
        <v>1902.5333333333333</v>
      </c>
      <c r="AT30" s="24">
        <v>0.05</v>
      </c>
      <c r="AU30" s="117">
        <f>(AT$12*AT30)-(AU$35*AT30)</f>
        <v>8.4</v>
      </c>
      <c r="AV30" s="458">
        <f>(1/AT$34)*IF(AT$11&lt;$M$30,$Q$30,$Q$32)*AT30</f>
        <v>1902.5333333333333</v>
      </c>
      <c r="AW30" s="24">
        <v>0.05</v>
      </c>
      <c r="AX30" s="117">
        <f>(AW$12*AW30)-(AX$35*AW30)</f>
        <v>8.8000000000000007</v>
      </c>
      <c r="AY30" s="458">
        <f>(1/AW$34)*IF(AW$11&lt;$M$30,$Q$30,$Q$32)*AW30</f>
        <v>1902.5333333333333</v>
      </c>
      <c r="AZ30" s="24">
        <v>0.05</v>
      </c>
      <c r="BA30" s="117">
        <f>(AZ$12*AZ30)-(BA$35*AZ30)</f>
        <v>9.2000000000000011</v>
      </c>
      <c r="BB30" s="458">
        <f>(1/AZ$34)*IF(AZ$11&lt;$M$30,$Q$30,$Q$32)*AZ30</f>
        <v>1902.5333333333333</v>
      </c>
      <c r="BC30" s="285">
        <f>SUM(U30,X30,AA30,AD30,AG30,AJ30,AM30,AP30,AS30,AV30,AY30,BB30)</f>
        <v>22830.399999999998</v>
      </c>
    </row>
    <row r="31" spans="1:55" ht="15" thickBot="1" x14ac:dyDescent="0.35">
      <c r="A31" s="572"/>
      <c r="B31" s="63" t="s">
        <v>6</v>
      </c>
      <c r="C31" s="158" t="s">
        <v>58</v>
      </c>
      <c r="D31" s="171"/>
      <c r="E31" s="4"/>
      <c r="F31" s="186" t="s">
        <v>50</v>
      </c>
      <c r="G31" s="10">
        <v>44256</v>
      </c>
      <c r="H31" s="225">
        <v>44561</v>
      </c>
      <c r="I31" s="222"/>
      <c r="J31" s="222"/>
      <c r="K31" s="18"/>
      <c r="L31" s="97"/>
      <c r="M31" s="98"/>
      <c r="N31" s="112"/>
      <c r="O31" s="98"/>
      <c r="P31" s="98"/>
      <c r="Q31" s="137"/>
      <c r="R31" s="63" t="s">
        <v>6</v>
      </c>
      <c r="S31" s="349"/>
      <c r="T31" s="352"/>
      <c r="U31" s="459"/>
      <c r="V31" s="349"/>
      <c r="W31" s="352"/>
      <c r="X31" s="459"/>
      <c r="Y31" s="450">
        <v>0.2</v>
      </c>
      <c r="Z31" s="117">
        <f>(Y$12*Y31)-(Z$35*Y31)</f>
        <v>36.800000000000004</v>
      </c>
      <c r="AA31" s="458">
        <v>7610</v>
      </c>
      <c r="AB31" s="24">
        <v>0.2</v>
      </c>
      <c r="AC31" s="117">
        <f>(AB$12*AB31)-(AC$35*AB31)</f>
        <v>35.200000000000003</v>
      </c>
      <c r="AD31" s="458">
        <v>7610</v>
      </c>
      <c r="AE31" s="24">
        <v>0.2</v>
      </c>
      <c r="AF31" s="117">
        <f>(AE$12*AE31)-(AF$35*AE31)</f>
        <v>33.6</v>
      </c>
      <c r="AG31" s="458">
        <f>(1/AE$34)*IF(AE$11&lt;$M$30,$Q$30,$Q$32)*AE31</f>
        <v>7610.1333333333332</v>
      </c>
      <c r="AH31" s="24">
        <v>0.2</v>
      </c>
      <c r="AI31" s="117">
        <f>(AH$12*AH31)-(AI$35*AH31)</f>
        <v>35.200000000000003</v>
      </c>
      <c r="AJ31" s="458">
        <f>(1/AH$34)*IF(AH$11&lt;$M$30,$Q$30,$Q$32)*AH31</f>
        <v>7610.1333333333332</v>
      </c>
      <c r="AK31" s="24">
        <v>0.2</v>
      </c>
      <c r="AL31" s="117">
        <f>(AK$12*AK31)-(AL$35*AK31)</f>
        <v>29.200000000000003</v>
      </c>
      <c r="AM31" s="458">
        <f>(1/AK$34)*IF(AK$11&lt;$M$30,$Q$30,$Q$32)*AK31</f>
        <v>7610.1333333333332</v>
      </c>
      <c r="AN31" s="24">
        <v>0.2</v>
      </c>
      <c r="AO31" s="117">
        <f>(AN$12*AN31)-(AO$35*AN31)</f>
        <v>31.6</v>
      </c>
      <c r="AP31" s="458">
        <f>(1/AN$34)*IF(AN$11&lt;$M$30,$Q$30,$Q$32)*AN31</f>
        <v>7610.1333333333332</v>
      </c>
      <c r="AQ31" s="24">
        <v>0.2</v>
      </c>
      <c r="AR31" s="117">
        <f>(AQ$12*AQ31)-(AR$35*AQ31)</f>
        <v>35.200000000000003</v>
      </c>
      <c r="AS31" s="458">
        <f>(1/AQ$34)*IF(AQ$11&lt;$M$30,$Q$30,$Q$32)*AQ31</f>
        <v>7610.1333333333332</v>
      </c>
      <c r="AT31" s="24">
        <v>0.2</v>
      </c>
      <c r="AU31" s="117">
        <f>(AT$12*AT31)-(AU$35*AT31)</f>
        <v>33.6</v>
      </c>
      <c r="AV31" s="458">
        <f>(1/AT$34)*IF(AT$11&lt;$M$30,$Q$30,$Q$32)*AT31</f>
        <v>7610.1333333333332</v>
      </c>
      <c r="AW31" s="24">
        <v>0.2</v>
      </c>
      <c r="AX31" s="117">
        <f>(AW$12*AW31)-(AX$35*AW31)</f>
        <v>35.200000000000003</v>
      </c>
      <c r="AY31" s="458">
        <f>(1/AW$34)*IF(AW$11&lt;$M$30,$Q$30,$Q$32)*AW31</f>
        <v>7610.1333333333332</v>
      </c>
      <c r="AZ31" s="24">
        <v>0.2</v>
      </c>
      <c r="BA31" s="117">
        <f>(AZ$12*AZ31)-(BA$35*AZ31)</f>
        <v>36.800000000000004</v>
      </c>
      <c r="BB31" s="458">
        <f>(1/AZ$34)*IF(AZ$11&lt;$M$30,$Q$30,$Q$32)*AZ31</f>
        <v>7610.1333333333332</v>
      </c>
      <c r="BC31" s="285">
        <f t="shared" ref="BC31" si="60">SUM(U31,X31,AA31,AD31,AG31,AJ31,AM31,AP31,AS31,AV31,AY31,BB31)</f>
        <v>76101.066666666651</v>
      </c>
    </row>
    <row r="32" spans="1:55" ht="15" thickBot="1" x14ac:dyDescent="0.35">
      <c r="A32" s="572"/>
      <c r="B32" s="63" t="s">
        <v>9</v>
      </c>
      <c r="C32" s="158" t="s">
        <v>58</v>
      </c>
      <c r="D32" s="171"/>
      <c r="E32" s="4"/>
      <c r="F32" s="186" t="s">
        <v>50</v>
      </c>
      <c r="G32" s="10">
        <v>43831</v>
      </c>
      <c r="H32" s="222">
        <v>44255</v>
      </c>
      <c r="I32" s="222"/>
      <c r="J32" s="222"/>
      <c r="K32" s="18"/>
      <c r="L32" s="97"/>
      <c r="M32" s="98"/>
      <c r="N32" s="112"/>
      <c r="O32" s="98"/>
      <c r="P32" s="98"/>
      <c r="Q32" s="137"/>
      <c r="R32" s="63" t="s">
        <v>9</v>
      </c>
      <c r="S32" s="24">
        <v>0.2</v>
      </c>
      <c r="T32" s="117">
        <f>(S$12*S32)-(T$35*S32)</f>
        <v>33.6</v>
      </c>
      <c r="U32" s="458">
        <f>(1/S$34)*IF(S$11&lt;$M$30,$Q$30,$Q$32)*S32</f>
        <v>7610.1333333333332</v>
      </c>
      <c r="V32" s="24">
        <v>0.2</v>
      </c>
      <c r="W32" s="117">
        <f>(V$12*V32)-(W$35*V32)</f>
        <v>27.2</v>
      </c>
      <c r="X32" s="458">
        <f>(1/V$34)*IF(V$11&lt;$M$30,$Q$30,$Q$32)*V32</f>
        <v>7610.1333333333332</v>
      </c>
      <c r="Y32" s="349"/>
      <c r="Z32" s="350"/>
      <c r="AA32" s="459"/>
      <c r="AB32" s="349"/>
      <c r="AC32" s="350"/>
      <c r="AD32" s="459"/>
      <c r="AE32" s="349"/>
      <c r="AF32" s="350"/>
      <c r="AG32" s="459"/>
      <c r="AH32" s="349"/>
      <c r="AI32" s="350"/>
      <c r="AJ32" s="459"/>
      <c r="AK32" s="349"/>
      <c r="AL32" s="350"/>
      <c r="AM32" s="459"/>
      <c r="AN32" s="349"/>
      <c r="AO32" s="350"/>
      <c r="AP32" s="459"/>
      <c r="AQ32" s="349"/>
      <c r="AR32" s="350"/>
      <c r="AS32" s="459"/>
      <c r="AT32" s="349"/>
      <c r="AU32" s="350"/>
      <c r="AV32" s="459"/>
      <c r="AW32" s="349"/>
      <c r="AX32" s="350"/>
      <c r="AY32" s="459"/>
      <c r="AZ32" s="349"/>
      <c r="BA32" s="350"/>
      <c r="BB32" s="459"/>
      <c r="BC32" s="285">
        <f t="shared" si="48"/>
        <v>15220.266666666666</v>
      </c>
    </row>
    <row r="33" spans="1:55" ht="15" thickBot="1" x14ac:dyDescent="0.35">
      <c r="A33" s="572"/>
      <c r="B33" s="63" t="s">
        <v>29</v>
      </c>
      <c r="C33" s="158" t="s">
        <v>58</v>
      </c>
      <c r="D33" s="171"/>
      <c r="E33" s="4"/>
      <c r="F33" s="186" t="s">
        <v>50</v>
      </c>
      <c r="G33" s="5">
        <v>43952</v>
      </c>
      <c r="H33" s="168">
        <v>44926</v>
      </c>
      <c r="I33" s="5"/>
      <c r="J33" s="5"/>
      <c r="K33" s="18"/>
      <c r="L33" s="97"/>
      <c r="M33" s="98"/>
      <c r="N33" s="112"/>
      <c r="O33" s="98"/>
      <c r="P33" s="98"/>
      <c r="Q33" s="137"/>
      <c r="R33" s="63" t="s">
        <v>29</v>
      </c>
      <c r="S33" s="24">
        <v>0.5</v>
      </c>
      <c r="T33" s="117">
        <f>(S$12*S33)-(T$35*S33)</f>
        <v>84</v>
      </c>
      <c r="U33" s="458">
        <f>(1/S$34)*IF(S$11&lt;$M$30,$Q$30,$Q$32)*S33</f>
        <v>19025.333333333332</v>
      </c>
      <c r="V33" s="24">
        <v>0.5</v>
      </c>
      <c r="W33" s="117">
        <f>(V$12*V33)-(W$35*V33)</f>
        <v>68</v>
      </c>
      <c r="X33" s="458">
        <f>(1/V$34)*IF(V$11&lt;$M$30,$Q$30,$Q$32)*V33</f>
        <v>19025.333333333332</v>
      </c>
      <c r="Y33" s="24">
        <v>0.5</v>
      </c>
      <c r="Z33" s="117">
        <f>(Y$12*Y33)-(Z$35*Y33)</f>
        <v>92</v>
      </c>
      <c r="AA33" s="458">
        <f>(1/Y$34)*IF(Y$11&lt;$M$30,$Q$30,$Q$32)*Y33</f>
        <v>19025.333333333332</v>
      </c>
      <c r="AB33" s="24">
        <v>0.5</v>
      </c>
      <c r="AC33" s="117">
        <f>(AB$12*AB33)-(AC$35*AB33)</f>
        <v>88</v>
      </c>
      <c r="AD33" s="458">
        <f>(1/AB$34)*IF(AB$11&lt;$M$30,$Q$30,$Q$32)*AB33</f>
        <v>19025.333333333332</v>
      </c>
      <c r="AE33" s="24">
        <v>0.5</v>
      </c>
      <c r="AF33" s="117">
        <f>(AE$12*AE33)-(AF$35*AE33)</f>
        <v>84</v>
      </c>
      <c r="AG33" s="458">
        <f>(1/AE$34)*IF(AE$11&lt;$M$30,$Q$30,$Q$32)*AE33</f>
        <v>19025.333333333332</v>
      </c>
      <c r="AH33" s="24">
        <v>0.5</v>
      </c>
      <c r="AI33" s="117">
        <f>(AH$12*AH33)-(AI$35*AH33)</f>
        <v>88</v>
      </c>
      <c r="AJ33" s="458">
        <f>(1/AH$34)*IF(AH$11&lt;$M$30,$Q$30,$Q$32)*AH33</f>
        <v>19025.333333333332</v>
      </c>
      <c r="AK33" s="24">
        <v>0.5</v>
      </c>
      <c r="AL33" s="117">
        <f>(AK$12*AK33)-(AL$35*AK33)</f>
        <v>73</v>
      </c>
      <c r="AM33" s="458">
        <f>(1/AK$34)*IF(AK$11&lt;$M$30,$Q$30,$Q$32)*AK33</f>
        <v>19025.333333333332</v>
      </c>
      <c r="AN33" s="24">
        <v>0.5</v>
      </c>
      <c r="AO33" s="117">
        <f>(AN$12*AN33)-(AO$35*AN33)</f>
        <v>79</v>
      </c>
      <c r="AP33" s="458">
        <f>(1/AN$34)*IF(AN$11&lt;$M$30,$Q$30,$Q$32)*AN33</f>
        <v>19025.333333333332</v>
      </c>
      <c r="AQ33" s="24">
        <v>0.5</v>
      </c>
      <c r="AR33" s="117">
        <f>(AQ$12*AQ33)-(AR$35*AQ33)</f>
        <v>88</v>
      </c>
      <c r="AS33" s="458">
        <f>(1/AQ$34)*IF(AQ$11&lt;$M$30,$Q$30,$Q$32)*AQ33</f>
        <v>19025.333333333332</v>
      </c>
      <c r="AT33" s="24">
        <v>0.5</v>
      </c>
      <c r="AU33" s="117">
        <f>(AT$12*AT33)-(AU$35*AT33)</f>
        <v>84</v>
      </c>
      <c r="AV33" s="458">
        <f>(1/AT$34)*IF(AT$11&lt;$M$30,$Q$30,$Q$32)*AT33</f>
        <v>19025.333333333332</v>
      </c>
      <c r="AW33" s="24">
        <v>0.5</v>
      </c>
      <c r="AX33" s="117">
        <f>(AW$12*AW33)-(AX$35*AW33)</f>
        <v>88</v>
      </c>
      <c r="AY33" s="458">
        <f>(1/AW$34)*IF(AW$11&lt;$M$30,$Q$30,$Q$32)*AW33</f>
        <v>19025.333333333332</v>
      </c>
      <c r="AZ33" s="24">
        <v>0.5</v>
      </c>
      <c r="BA33" s="117">
        <f>(AZ$12*AZ33)-(BA$35*AZ33)</f>
        <v>92</v>
      </c>
      <c r="BB33" s="458">
        <f>(1/AZ$34)*IF(AZ$11&lt;$M$30,$Q$30,$Q$32)*AZ33</f>
        <v>19025.333333333332</v>
      </c>
      <c r="BC33" s="285">
        <f t="shared" si="48"/>
        <v>228304.00000000003</v>
      </c>
    </row>
    <row r="34" spans="1:55" ht="15" thickBot="1" x14ac:dyDescent="0.35">
      <c r="A34" s="572"/>
      <c r="B34" s="63" t="s">
        <v>36</v>
      </c>
      <c r="C34" s="160"/>
      <c r="D34" s="171"/>
      <c r="E34" s="4"/>
      <c r="F34" s="180"/>
      <c r="G34" s="5"/>
      <c r="H34" s="222"/>
      <c r="I34" s="222"/>
      <c r="J34" s="222"/>
      <c r="K34" s="18"/>
      <c r="L34" s="20"/>
      <c r="M34" s="22"/>
      <c r="N34" s="107"/>
      <c r="O34" s="22"/>
      <c r="P34" s="22"/>
      <c r="Q34" s="23"/>
      <c r="R34" s="63" t="s">
        <v>36</v>
      </c>
      <c r="S34" s="27">
        <f t="shared" ref="S34:U34" si="61">SUM(S30:S33)</f>
        <v>0.75</v>
      </c>
      <c r="T34" s="77">
        <f t="shared" si="61"/>
        <v>126</v>
      </c>
      <c r="U34" s="209">
        <f t="shared" si="61"/>
        <v>28538</v>
      </c>
      <c r="V34" s="27">
        <f t="shared" ref="V34:BB34" si="62">SUM(V30:V33)</f>
        <v>0.75</v>
      </c>
      <c r="W34" s="77">
        <f t="shared" si="62"/>
        <v>102</v>
      </c>
      <c r="X34" s="209">
        <f t="shared" si="62"/>
        <v>28538</v>
      </c>
      <c r="Y34" s="27">
        <f t="shared" si="62"/>
        <v>0.75</v>
      </c>
      <c r="Z34" s="77">
        <f t="shared" si="62"/>
        <v>138</v>
      </c>
      <c r="AA34" s="209">
        <f t="shared" si="62"/>
        <v>28537.866666666665</v>
      </c>
      <c r="AB34" s="27">
        <f t="shared" si="62"/>
        <v>0.75</v>
      </c>
      <c r="AC34" s="77">
        <f t="shared" si="62"/>
        <v>132</v>
      </c>
      <c r="AD34" s="209">
        <f t="shared" si="62"/>
        <v>28537.866666666665</v>
      </c>
      <c r="AE34" s="27">
        <f t="shared" si="62"/>
        <v>0.75</v>
      </c>
      <c r="AF34" s="77">
        <f t="shared" si="62"/>
        <v>126</v>
      </c>
      <c r="AG34" s="209">
        <f t="shared" si="62"/>
        <v>28538</v>
      </c>
      <c r="AH34" s="27">
        <f t="shared" si="62"/>
        <v>0.75</v>
      </c>
      <c r="AI34" s="77">
        <f t="shared" si="62"/>
        <v>132</v>
      </c>
      <c r="AJ34" s="209">
        <f t="shared" si="62"/>
        <v>28538</v>
      </c>
      <c r="AK34" s="27">
        <f t="shared" si="62"/>
        <v>0.75</v>
      </c>
      <c r="AL34" s="77">
        <f t="shared" si="62"/>
        <v>109.5</v>
      </c>
      <c r="AM34" s="209">
        <f t="shared" si="62"/>
        <v>28538</v>
      </c>
      <c r="AN34" s="27">
        <f t="shared" si="62"/>
        <v>0.75</v>
      </c>
      <c r="AO34" s="77">
        <f t="shared" si="62"/>
        <v>118.5</v>
      </c>
      <c r="AP34" s="209">
        <f t="shared" si="62"/>
        <v>28538</v>
      </c>
      <c r="AQ34" s="27">
        <f t="shared" si="62"/>
        <v>0.75</v>
      </c>
      <c r="AR34" s="77">
        <f t="shared" si="62"/>
        <v>132</v>
      </c>
      <c r="AS34" s="209">
        <f t="shared" si="62"/>
        <v>28538</v>
      </c>
      <c r="AT34" s="27">
        <f t="shared" si="62"/>
        <v>0.75</v>
      </c>
      <c r="AU34" s="77">
        <f t="shared" si="62"/>
        <v>126</v>
      </c>
      <c r="AV34" s="209">
        <f t="shared" si="62"/>
        <v>28538</v>
      </c>
      <c r="AW34" s="27">
        <f t="shared" si="62"/>
        <v>0.75</v>
      </c>
      <c r="AX34" s="77">
        <f t="shared" si="62"/>
        <v>132</v>
      </c>
      <c r="AY34" s="209">
        <f t="shared" si="62"/>
        <v>28538</v>
      </c>
      <c r="AZ34" s="27">
        <f t="shared" si="62"/>
        <v>0.75</v>
      </c>
      <c r="BA34" s="77">
        <f t="shared" si="62"/>
        <v>138</v>
      </c>
      <c r="BB34" s="209">
        <f t="shared" si="62"/>
        <v>28538</v>
      </c>
      <c r="BC34" s="285">
        <f t="shared" si="48"/>
        <v>342455.73333333334</v>
      </c>
    </row>
    <row r="35" spans="1:55" ht="15" thickBot="1" x14ac:dyDescent="0.35">
      <c r="A35" s="573"/>
      <c r="B35" s="340" t="s">
        <v>27</v>
      </c>
      <c r="C35" s="161"/>
      <c r="D35" s="175"/>
      <c r="E35" s="7"/>
      <c r="F35" s="175"/>
      <c r="G35" s="7"/>
      <c r="H35" s="16"/>
      <c r="I35" s="16"/>
      <c r="J35" s="16"/>
      <c r="K35" s="16"/>
      <c r="L35" s="29"/>
      <c r="M35" s="108"/>
      <c r="N35" s="113"/>
      <c r="O35" s="108"/>
      <c r="P35" s="108"/>
      <c r="Q35" s="99"/>
      <c r="R35" s="340" t="s">
        <v>27</v>
      </c>
      <c r="S35" s="82"/>
      <c r="T35" s="78">
        <f>S35*8*S34</f>
        <v>0</v>
      </c>
      <c r="U35" s="83"/>
      <c r="V35" s="82">
        <v>4</v>
      </c>
      <c r="W35" s="78">
        <f>V35*8*V34</f>
        <v>24</v>
      </c>
      <c r="X35" s="83"/>
      <c r="Y35" s="82"/>
      <c r="Z35" s="78">
        <f t="shared" ref="Z35" si="63">Y35*8*Y34</f>
        <v>0</v>
      </c>
      <c r="AA35" s="83"/>
      <c r="AB35" s="82"/>
      <c r="AC35" s="78">
        <f t="shared" ref="AC35" si="64">AB35*8*AB34</f>
        <v>0</v>
      </c>
      <c r="AD35" s="83"/>
      <c r="AE35" s="82"/>
      <c r="AF35" s="78">
        <f t="shared" ref="AF35" si="65">AE35*8*AE34</f>
        <v>0</v>
      </c>
      <c r="AG35" s="83"/>
      <c r="AH35" s="82"/>
      <c r="AI35" s="78">
        <f t="shared" ref="AI35" si="66">AH35*8*AH34</f>
        <v>0</v>
      </c>
      <c r="AJ35" s="83"/>
      <c r="AK35" s="82">
        <v>5</v>
      </c>
      <c r="AL35" s="78">
        <f t="shared" ref="AL35" si="67">AK35*8*AK34</f>
        <v>30</v>
      </c>
      <c r="AM35" s="83"/>
      <c r="AN35" s="82">
        <v>3</v>
      </c>
      <c r="AO35" s="78">
        <f t="shared" ref="AO35" si="68">AN35*8*AN34</f>
        <v>18</v>
      </c>
      <c r="AP35" s="83"/>
      <c r="AQ35" s="82"/>
      <c r="AR35" s="78">
        <f t="shared" ref="AR35" si="69">AQ35*8*AQ34</f>
        <v>0</v>
      </c>
      <c r="AS35" s="83"/>
      <c r="AT35" s="82"/>
      <c r="AU35" s="78">
        <f t="shared" ref="AU35" si="70">AT35*8*AT34</f>
        <v>0</v>
      </c>
      <c r="AV35" s="83"/>
      <c r="AW35" s="82"/>
      <c r="AX35" s="78">
        <f t="shared" ref="AX35" si="71">AW35*8*AW34</f>
        <v>0</v>
      </c>
      <c r="AY35" s="83"/>
      <c r="AZ35" s="82"/>
      <c r="BA35" s="78">
        <f t="shared" ref="BA35" si="72">AZ35*8*AZ34</f>
        <v>0</v>
      </c>
      <c r="BB35" s="81"/>
      <c r="BC35" s="344">
        <f>(25+'PŘEHLED 2020'!BA26)-(S35+V35+Y35+AB35+AE35+AH35+AK35+AN35+AQ35+AT35+AW35+AZ35)</f>
        <v>13</v>
      </c>
    </row>
    <row r="36" spans="1:55" ht="15" thickBot="1" x14ac:dyDescent="0.35">
      <c r="A36" s="575" t="s">
        <v>65</v>
      </c>
      <c r="B36" s="63" t="s">
        <v>7</v>
      </c>
      <c r="C36" s="158" t="s">
        <v>58</v>
      </c>
      <c r="D36" s="176">
        <v>0</v>
      </c>
      <c r="E36" s="131" t="s">
        <v>3</v>
      </c>
      <c r="F36" s="187" t="s">
        <v>50</v>
      </c>
      <c r="G36" s="10">
        <v>43862</v>
      </c>
      <c r="H36" s="225"/>
      <c r="I36" s="225"/>
      <c r="J36" s="225"/>
      <c r="K36" s="130" t="s">
        <v>93</v>
      </c>
      <c r="L36" s="120">
        <v>44197</v>
      </c>
      <c r="M36" s="5">
        <v>44561</v>
      </c>
      <c r="N36" s="109" t="s">
        <v>16</v>
      </c>
      <c r="O36" s="98">
        <f>1321+2641+13205+2641+6603</f>
        <v>26411</v>
      </c>
      <c r="P36" s="22">
        <v>12000</v>
      </c>
      <c r="Q36" s="23">
        <f>P36+O36</f>
        <v>38411</v>
      </c>
      <c r="R36" s="63" t="s">
        <v>7</v>
      </c>
      <c r="S36" s="118">
        <v>0.05</v>
      </c>
      <c r="T36" s="214">
        <f>(S$12*S36)-(T$41*S36)</f>
        <v>8.4</v>
      </c>
      <c r="U36" s="455">
        <f>IF(S$11&lt;$M$36,$Q$36,$Q$37)*S36</f>
        <v>1920.5500000000002</v>
      </c>
      <c r="V36" s="118">
        <v>0.05</v>
      </c>
      <c r="W36" s="214">
        <f>(V$12*V36)-(W$41*V36)</f>
        <v>8</v>
      </c>
      <c r="X36" s="455">
        <f>IF(V$11&lt;$M$36,$Q$36,$Q$37)*V36</f>
        <v>1920.5500000000002</v>
      </c>
      <c r="Y36" s="118">
        <v>0.05</v>
      </c>
      <c r="Z36" s="214">
        <f>(Y$12*Y36)-(Z$41*Y36)</f>
        <v>8.8000000000000007</v>
      </c>
      <c r="AA36" s="455">
        <f>IF(Y$11&lt;$M$36,$Q$36,$Q$37)*Y36</f>
        <v>1920.5500000000002</v>
      </c>
      <c r="AB36" s="118">
        <v>0.05</v>
      </c>
      <c r="AC36" s="214">
        <f>(AB$12*AB36)-(AC$41*AB36)</f>
        <v>8.8000000000000007</v>
      </c>
      <c r="AD36" s="455">
        <f>IF(AB$11&lt;$M$36,$Q$36,$Q$37)*AB36</f>
        <v>1920.5500000000002</v>
      </c>
      <c r="AE36" s="118">
        <v>0.05</v>
      </c>
      <c r="AF36" s="214">
        <f>(AE$12*AE36)-(AF$41*AE36)</f>
        <v>8.4</v>
      </c>
      <c r="AG36" s="455">
        <f>IF(AE$11&lt;$M$36,$Q$36,$Q$37)*AE36</f>
        <v>1920.5500000000002</v>
      </c>
      <c r="AH36" s="118">
        <v>0.05</v>
      </c>
      <c r="AI36" s="214">
        <f>(AH$12*AH36)-(AI$41*AH36)</f>
        <v>6.8000000000000007</v>
      </c>
      <c r="AJ36" s="455">
        <f>IF(AH$11&lt;$M$36,$Q$36,$Q$37)*AH36</f>
        <v>1920.5500000000002</v>
      </c>
      <c r="AK36" s="118">
        <v>0.05</v>
      </c>
      <c r="AL36" s="214">
        <f>(AK$12*AK36)-(AL$41*AK36)</f>
        <v>8.8000000000000007</v>
      </c>
      <c r="AM36" s="455">
        <f>IF(AK$11&lt;$M$36,$Q$36,$Q$37)*AK36</f>
        <v>1920.5500000000002</v>
      </c>
      <c r="AN36" s="118">
        <v>0.05</v>
      </c>
      <c r="AO36" s="214">
        <f>(AN$12*AN36)-(AO$41*AN36)</f>
        <v>6</v>
      </c>
      <c r="AP36" s="455">
        <f>IF(AN$11&lt;$M$36,$Q$36,$Q$37)*AN36</f>
        <v>1920.5500000000002</v>
      </c>
      <c r="AQ36" s="118">
        <v>0.05</v>
      </c>
      <c r="AR36" s="214">
        <f>(AQ$12*AQ36)-(AR$41*AQ36)</f>
        <v>7.6000000000000005</v>
      </c>
      <c r="AS36" s="455">
        <f>IF(AQ$11&lt;$M$36,$Q$36,$Q$37)*AQ36</f>
        <v>1920.5500000000002</v>
      </c>
      <c r="AT36" s="118">
        <v>0.05</v>
      </c>
      <c r="AU36" s="214">
        <f>(AT$12*AT36)-(AU$41*AT36)</f>
        <v>8.4</v>
      </c>
      <c r="AV36" s="455">
        <f>IF(AT$11&lt;$M$36,$Q$36,$Q$37)*AT36</f>
        <v>1920.5500000000002</v>
      </c>
      <c r="AW36" s="118">
        <v>0.05</v>
      </c>
      <c r="AX36" s="214">
        <f>(AW$12*AW36)-(AX$41*AW36)</f>
        <v>8.8000000000000007</v>
      </c>
      <c r="AY36" s="455">
        <f>IF(AW$11&lt;$M$36,$Q$36,$Q$37)*AW36</f>
        <v>1920.5500000000002</v>
      </c>
      <c r="AZ36" s="118">
        <v>0.05</v>
      </c>
      <c r="BA36" s="214">
        <f>(AZ$12*AZ36)-(BA$41*AZ36)</f>
        <v>9.2000000000000011</v>
      </c>
      <c r="BB36" s="455">
        <f>IF(AZ$11&lt;$M$36,$Q$36,$Q$37)*AZ36</f>
        <v>1920.5500000000002</v>
      </c>
      <c r="BC36" s="285">
        <f t="shared" si="48"/>
        <v>23046.599999999995</v>
      </c>
    </row>
    <row r="37" spans="1:55" ht="15" thickBot="1" x14ac:dyDescent="0.35">
      <c r="A37" s="576"/>
      <c r="B37" s="63" t="s">
        <v>6</v>
      </c>
      <c r="C37" s="158" t="s">
        <v>58</v>
      </c>
      <c r="D37" s="177"/>
      <c r="E37" s="11"/>
      <c r="F37" s="193" t="s">
        <v>50</v>
      </c>
      <c r="G37" s="10">
        <v>43862</v>
      </c>
      <c r="H37" s="225">
        <v>45230</v>
      </c>
      <c r="I37" s="225"/>
      <c r="J37" s="225"/>
      <c r="K37" s="19"/>
      <c r="L37" s="20"/>
      <c r="M37" s="22"/>
      <c r="N37" s="107"/>
      <c r="O37" s="22"/>
      <c r="P37" s="22"/>
      <c r="Q37" s="23"/>
      <c r="R37" s="63" t="s">
        <v>6</v>
      </c>
      <c r="S37" s="450">
        <v>0.2</v>
      </c>
      <c r="T37" s="117">
        <f>(S$12*S37)-(T$41*S37)</f>
        <v>33.6</v>
      </c>
      <c r="U37" s="456">
        <v>7682</v>
      </c>
      <c r="V37" s="24">
        <v>0.2</v>
      </c>
      <c r="W37" s="117">
        <f>(V$12*V37)-(W$41*V37)</f>
        <v>32</v>
      </c>
      <c r="X37" s="456">
        <v>7616</v>
      </c>
      <c r="Y37" s="24">
        <v>0.2</v>
      </c>
      <c r="Z37" s="117">
        <f>(Y$12*Y37)-(Z$41*Y37)</f>
        <v>35.200000000000003</v>
      </c>
      <c r="AA37" s="456">
        <v>7666</v>
      </c>
      <c r="AB37" s="24">
        <v>0.2</v>
      </c>
      <c r="AC37" s="117">
        <f>(AB$12*AB37)-(AC$41*AB37)</f>
        <v>35.200000000000003</v>
      </c>
      <c r="AD37" s="456">
        <v>7682</v>
      </c>
      <c r="AE37" s="24">
        <v>0.2</v>
      </c>
      <c r="AF37" s="117">
        <f>(AE$12*AE37)-(AF$41*AE37)</f>
        <v>33.6</v>
      </c>
      <c r="AG37" s="456">
        <f>IF(AE$11&lt;$M$36,$Q$36,$Q$37)*AE37</f>
        <v>7682.2000000000007</v>
      </c>
      <c r="AH37" s="24">
        <v>0.2</v>
      </c>
      <c r="AI37" s="117">
        <f>(AH$12*AH37)-(AI$41*AH37)</f>
        <v>27.200000000000003</v>
      </c>
      <c r="AJ37" s="456">
        <f>IF(AH$11&lt;$M$36,$Q$36,$Q$37)*AH37</f>
        <v>7682.2000000000007</v>
      </c>
      <c r="AK37" s="24">
        <v>0.2</v>
      </c>
      <c r="AL37" s="117">
        <f>(AK$12*AK37)-(AL$41*AK37)</f>
        <v>35.200000000000003</v>
      </c>
      <c r="AM37" s="456">
        <f>IF(AK$11&lt;$M$36,$Q$36,$Q$37)*AK37</f>
        <v>7682.2000000000007</v>
      </c>
      <c r="AN37" s="24">
        <v>0.2</v>
      </c>
      <c r="AO37" s="117">
        <f>(AN$12*AN37)-(AO$41*AN37)</f>
        <v>24</v>
      </c>
      <c r="AP37" s="456">
        <f>IF(AN$11&lt;$M$36,$Q$36,$Q$37)*AN37</f>
        <v>7682.2000000000007</v>
      </c>
      <c r="AQ37" s="24">
        <v>0.2</v>
      </c>
      <c r="AR37" s="117">
        <f>(AQ$12*AQ37)-(AR$41*AQ37)</f>
        <v>30.400000000000002</v>
      </c>
      <c r="AS37" s="456">
        <f>IF(AQ$11&lt;$M$36,$Q$36,$Q$37)*AQ37</f>
        <v>7682.2000000000007</v>
      </c>
      <c r="AT37" s="24">
        <v>0.2</v>
      </c>
      <c r="AU37" s="117">
        <f>(AT$12*AT37)-(AU$41*AT37)</f>
        <v>33.6</v>
      </c>
      <c r="AV37" s="456">
        <f>IF(AT$11&lt;$M$36,$Q$36,$Q$37)*AT37</f>
        <v>7682.2000000000007</v>
      </c>
      <c r="AW37" s="24">
        <v>0.2</v>
      </c>
      <c r="AX37" s="117">
        <f>(AW$12*AW37)-(AX$41*AW37)</f>
        <v>35.200000000000003</v>
      </c>
      <c r="AY37" s="456">
        <f>IF(AW$11&lt;$M$36,$Q$36,$Q$37)*AW37</f>
        <v>7682.2000000000007</v>
      </c>
      <c r="AZ37" s="24">
        <v>0.2</v>
      </c>
      <c r="BA37" s="117">
        <f>(AZ$12*AZ37)-(BA$41*AZ37)</f>
        <v>36.800000000000004</v>
      </c>
      <c r="BB37" s="456">
        <f>IF(AZ$11&lt;$M$36,$Q$36,$Q$37)*AZ37</f>
        <v>7682.2000000000007</v>
      </c>
      <c r="BC37" s="285">
        <f t="shared" si="48"/>
        <v>92103.599999999977</v>
      </c>
    </row>
    <row r="38" spans="1:55" ht="15" thickBot="1" x14ac:dyDescent="0.35">
      <c r="A38" s="576"/>
      <c r="B38" s="63" t="s">
        <v>9</v>
      </c>
      <c r="C38" s="158" t="s">
        <v>58</v>
      </c>
      <c r="D38" s="177"/>
      <c r="E38" s="11"/>
      <c r="F38" s="193" t="s">
        <v>50</v>
      </c>
      <c r="G38" s="10">
        <v>43862</v>
      </c>
      <c r="H38" s="222">
        <v>44742</v>
      </c>
      <c r="I38" s="222"/>
      <c r="J38" s="222"/>
      <c r="K38" s="19"/>
      <c r="L38" s="20"/>
      <c r="M38" s="22"/>
      <c r="N38" s="107"/>
      <c r="O38" s="22"/>
      <c r="P38" s="22"/>
      <c r="Q38" s="23"/>
      <c r="R38" s="63" t="s">
        <v>9</v>
      </c>
      <c r="S38" s="24">
        <v>0.5</v>
      </c>
      <c r="T38" s="117">
        <f>(S$12*S38)-(T$41*S38)</f>
        <v>84</v>
      </c>
      <c r="U38" s="456">
        <f>IF(S$11&lt;$M$36,$Q$36,$Q$37)*S38</f>
        <v>19205.5</v>
      </c>
      <c r="V38" s="24">
        <v>0.5</v>
      </c>
      <c r="W38" s="117">
        <f>(V$12*V38)-(W$41*V38)</f>
        <v>80</v>
      </c>
      <c r="X38" s="456">
        <f>IF(V$11&lt;$M$36,$Q$36,$Q$37)*V38</f>
        <v>19205.5</v>
      </c>
      <c r="Y38" s="24">
        <v>0.5</v>
      </c>
      <c r="Z38" s="117">
        <f>(Y$12*Y38)-(Z$41*Y38)</f>
        <v>88</v>
      </c>
      <c r="AA38" s="456">
        <f>IF(Y$11&lt;$M$36,$Q$36,$Q$37)*Y38</f>
        <v>19205.5</v>
      </c>
      <c r="AB38" s="24">
        <v>0.5</v>
      </c>
      <c r="AC38" s="117">
        <f>(AB$12*AB38)-(AC$41*AB38)</f>
        <v>88</v>
      </c>
      <c r="AD38" s="456">
        <f>IF(AB$11&lt;$M$36,$Q$36,$Q$37)*AB38</f>
        <v>19205.5</v>
      </c>
      <c r="AE38" s="24">
        <v>0.5</v>
      </c>
      <c r="AF38" s="117">
        <f>(AE$12*AE38)-(AF$41*AE38)</f>
        <v>84</v>
      </c>
      <c r="AG38" s="456">
        <f>IF(AE$11&lt;$M$36,$Q$36,$Q$37)*AE38</f>
        <v>19205.5</v>
      </c>
      <c r="AH38" s="24">
        <v>0.5</v>
      </c>
      <c r="AI38" s="117">
        <f>(AH$12*AH38)-(AI$41*AH38)</f>
        <v>68</v>
      </c>
      <c r="AJ38" s="456">
        <f>IF(AH$11&lt;$M$36,$Q$36,$Q$37)*AH38</f>
        <v>19205.5</v>
      </c>
      <c r="AK38" s="24">
        <v>0.5</v>
      </c>
      <c r="AL38" s="117">
        <f>(AK$12*AK38)-(AL$41*AK38)</f>
        <v>88</v>
      </c>
      <c r="AM38" s="456">
        <f>IF(AK$11&lt;$M$36,$Q$36,$Q$37)*AK38</f>
        <v>19205.5</v>
      </c>
      <c r="AN38" s="24">
        <v>0.5</v>
      </c>
      <c r="AO38" s="117">
        <f>(AN$12*AN38)-(AO$41*AN38)</f>
        <v>60</v>
      </c>
      <c r="AP38" s="456">
        <f>IF(AN$11&lt;$M$36,$Q$36,$Q$37)*AN38</f>
        <v>19205.5</v>
      </c>
      <c r="AQ38" s="24">
        <v>0.5</v>
      </c>
      <c r="AR38" s="117">
        <f>(AQ$12*AQ38)-(AR$41*AQ38)</f>
        <v>76</v>
      </c>
      <c r="AS38" s="456">
        <f>IF(AQ$11&lt;$M$36,$Q$36,$Q$37)*AQ38</f>
        <v>19205.5</v>
      </c>
      <c r="AT38" s="24">
        <v>0.5</v>
      </c>
      <c r="AU38" s="117">
        <f>(AT$12*AT38)-(AU$41*AT38)</f>
        <v>84</v>
      </c>
      <c r="AV38" s="456">
        <f>IF(AT$11&lt;$M$36,$Q$36,$Q$37)*AT38</f>
        <v>19205.5</v>
      </c>
      <c r="AW38" s="24">
        <v>0.5</v>
      </c>
      <c r="AX38" s="117">
        <f>(AW$12*AW38)-(AX$41*AW38)</f>
        <v>88</v>
      </c>
      <c r="AY38" s="456">
        <f>IF(AW$11&lt;$M$36,$Q$36,$Q$37)*AW38</f>
        <v>19205.5</v>
      </c>
      <c r="AZ38" s="24">
        <v>0.5</v>
      </c>
      <c r="BA38" s="117">
        <f>(AZ$12*AZ38)-(BA$41*AZ38)</f>
        <v>92</v>
      </c>
      <c r="BB38" s="456">
        <f>IF(AZ$11&lt;$M$36,$Q$36,$Q$37)*AZ38</f>
        <v>19205.5</v>
      </c>
      <c r="BC38" s="285">
        <f t="shared" si="48"/>
        <v>230466</v>
      </c>
    </row>
    <row r="39" spans="1:55" ht="15" thickBot="1" x14ac:dyDescent="0.35">
      <c r="A39" s="576"/>
      <c r="B39" s="63" t="s">
        <v>29</v>
      </c>
      <c r="C39" s="158" t="s">
        <v>58</v>
      </c>
      <c r="D39" s="177"/>
      <c r="E39" s="11"/>
      <c r="F39" s="193" t="s">
        <v>50</v>
      </c>
      <c r="G39" s="10">
        <v>43952</v>
      </c>
      <c r="H39" s="168">
        <v>44926</v>
      </c>
      <c r="I39" s="5"/>
      <c r="J39" s="5"/>
      <c r="K39" s="19"/>
      <c r="L39" s="97"/>
      <c r="M39" s="98"/>
      <c r="N39" s="112"/>
      <c r="O39" s="98"/>
      <c r="P39" s="98"/>
      <c r="Q39" s="137"/>
      <c r="R39" s="63" t="s">
        <v>29</v>
      </c>
      <c r="S39" s="24">
        <v>0.25</v>
      </c>
      <c r="T39" s="117">
        <f>(S$12*S39)-(T$41*S39)</f>
        <v>42</v>
      </c>
      <c r="U39" s="456">
        <f>IF(S$11&lt;$M$36,$Q$36,$Q$37)*S39</f>
        <v>9602.75</v>
      </c>
      <c r="V39" s="24">
        <v>0.25</v>
      </c>
      <c r="W39" s="117">
        <f>(V$12*V39)-(W$41*V39)</f>
        <v>40</v>
      </c>
      <c r="X39" s="456">
        <f>IF(V$11&lt;$M$36,$Q$36,$Q$37)*V39</f>
        <v>9602.75</v>
      </c>
      <c r="Y39" s="24">
        <v>0.25</v>
      </c>
      <c r="Z39" s="117">
        <f>(Y$12*Y39)-(Z$41*Y39)</f>
        <v>44</v>
      </c>
      <c r="AA39" s="456">
        <f>IF(Y$11&lt;$M$36,$Q$36,$Q$37)*Y39</f>
        <v>9602.75</v>
      </c>
      <c r="AB39" s="24">
        <v>0.25</v>
      </c>
      <c r="AC39" s="117">
        <f>(AB$12*AB39)-(AC$41*AB39)</f>
        <v>44</v>
      </c>
      <c r="AD39" s="456">
        <f>IF(AB$11&lt;$M$36,$Q$36,$Q$37)*AB39</f>
        <v>9602.75</v>
      </c>
      <c r="AE39" s="24">
        <v>0.25</v>
      </c>
      <c r="AF39" s="117">
        <f>(AE$12*AE39)-(AF$41*AE39)</f>
        <v>42</v>
      </c>
      <c r="AG39" s="456">
        <f>IF(AE$11&lt;$M$36,$Q$36,$Q$37)*AE39</f>
        <v>9602.75</v>
      </c>
      <c r="AH39" s="24">
        <v>0.25</v>
      </c>
      <c r="AI39" s="117">
        <f>(AH$12*AH39)-(AI$41*AH39)</f>
        <v>34</v>
      </c>
      <c r="AJ39" s="456">
        <f>IF(AH$11&lt;$M$36,$Q$36,$Q$37)*AH39</f>
        <v>9602.75</v>
      </c>
      <c r="AK39" s="24">
        <v>0.25</v>
      </c>
      <c r="AL39" s="117">
        <f>(AK$12*AK39)-(AL$41*AK39)</f>
        <v>44</v>
      </c>
      <c r="AM39" s="456">
        <f>IF(AK$11&lt;$M$36,$Q$36,$Q$37)*AK39</f>
        <v>9602.75</v>
      </c>
      <c r="AN39" s="24">
        <v>0.25</v>
      </c>
      <c r="AO39" s="117">
        <f>(AN$12*AN39)-(AO$41*AN39)</f>
        <v>30</v>
      </c>
      <c r="AP39" s="456">
        <f>IF(AN$11&lt;$M$36,$Q$36,$Q$37)*AN39</f>
        <v>9602.75</v>
      </c>
      <c r="AQ39" s="24">
        <v>0.25</v>
      </c>
      <c r="AR39" s="117">
        <f>(AQ$12*AQ39)-(AR$41*AQ39)</f>
        <v>38</v>
      </c>
      <c r="AS39" s="456">
        <f>IF(AQ$11&lt;$M$36,$Q$36,$Q$37)*AQ39</f>
        <v>9602.75</v>
      </c>
      <c r="AT39" s="24">
        <v>0.25</v>
      </c>
      <c r="AU39" s="117">
        <f>(AT$12*AT39)-(AU$41*AT39)</f>
        <v>42</v>
      </c>
      <c r="AV39" s="456">
        <f>IF(AT$11&lt;$M$36,$Q$36,$Q$37)*AT39</f>
        <v>9602.75</v>
      </c>
      <c r="AW39" s="24">
        <v>0.25</v>
      </c>
      <c r="AX39" s="117">
        <f>(AW$12*AW39)-(AX$41*AW39)</f>
        <v>44</v>
      </c>
      <c r="AY39" s="456">
        <f>IF(AW$11&lt;$M$36,$Q$36,$Q$37)*AW39</f>
        <v>9602.75</v>
      </c>
      <c r="AZ39" s="24">
        <v>0.25</v>
      </c>
      <c r="BA39" s="117">
        <f>(AZ$12*AZ39)-(BA$41*AZ39)</f>
        <v>46</v>
      </c>
      <c r="BB39" s="456">
        <f>IF(AZ$11&lt;$M$36,$Q$36,$Q$37)*AZ39</f>
        <v>9602.75</v>
      </c>
      <c r="BC39" s="285">
        <f t="shared" si="48"/>
        <v>115233</v>
      </c>
    </row>
    <row r="40" spans="1:55" ht="15" thickBot="1" x14ac:dyDescent="0.35">
      <c r="A40" s="576"/>
      <c r="B40" s="63" t="s">
        <v>36</v>
      </c>
      <c r="C40" s="162"/>
      <c r="D40" s="177"/>
      <c r="E40" s="11"/>
      <c r="F40" s="188"/>
      <c r="G40" s="12"/>
      <c r="H40" s="226"/>
      <c r="I40" s="226"/>
      <c r="J40" s="226"/>
      <c r="K40" s="19"/>
      <c r="L40" s="20"/>
      <c r="M40" s="22"/>
      <c r="N40" s="107"/>
      <c r="O40" s="22"/>
      <c r="P40" s="22"/>
      <c r="Q40" s="23"/>
      <c r="R40" s="63" t="s">
        <v>36</v>
      </c>
      <c r="S40" s="27">
        <f>SUM(S36:S39)</f>
        <v>1</v>
      </c>
      <c r="T40" s="77">
        <f>SUM(T36:T39)</f>
        <v>168</v>
      </c>
      <c r="U40" s="28">
        <f>SUM(U36:U39)</f>
        <v>38410.800000000003</v>
      </c>
      <c r="V40" s="27">
        <f t="shared" ref="V40:BB40" si="73">SUM(V36:V39)</f>
        <v>1</v>
      </c>
      <c r="W40" s="77">
        <f t="shared" si="73"/>
        <v>160</v>
      </c>
      <c r="X40" s="28">
        <f t="shared" si="73"/>
        <v>38344.800000000003</v>
      </c>
      <c r="Y40" s="27">
        <f t="shared" si="73"/>
        <v>1</v>
      </c>
      <c r="Z40" s="77">
        <f t="shared" si="73"/>
        <v>176</v>
      </c>
      <c r="AA40" s="28">
        <f t="shared" si="73"/>
        <v>38394.800000000003</v>
      </c>
      <c r="AB40" s="27">
        <f t="shared" si="73"/>
        <v>1</v>
      </c>
      <c r="AC40" s="77">
        <f t="shared" si="73"/>
        <v>176</v>
      </c>
      <c r="AD40" s="28">
        <f t="shared" si="73"/>
        <v>38410.800000000003</v>
      </c>
      <c r="AE40" s="27">
        <f t="shared" si="73"/>
        <v>1</v>
      </c>
      <c r="AF40" s="77">
        <f t="shared" si="73"/>
        <v>168</v>
      </c>
      <c r="AG40" s="28">
        <f t="shared" si="73"/>
        <v>38411</v>
      </c>
      <c r="AH40" s="27">
        <f t="shared" si="73"/>
        <v>1</v>
      </c>
      <c r="AI40" s="77">
        <f t="shared" si="73"/>
        <v>136</v>
      </c>
      <c r="AJ40" s="28">
        <f t="shared" si="73"/>
        <v>38411</v>
      </c>
      <c r="AK40" s="27">
        <f t="shared" si="73"/>
        <v>1</v>
      </c>
      <c r="AL40" s="77">
        <f t="shared" si="73"/>
        <v>176</v>
      </c>
      <c r="AM40" s="28">
        <f t="shared" si="73"/>
        <v>38411</v>
      </c>
      <c r="AN40" s="27">
        <f t="shared" si="73"/>
        <v>1</v>
      </c>
      <c r="AO40" s="77">
        <f t="shared" si="73"/>
        <v>120</v>
      </c>
      <c r="AP40" s="28">
        <f t="shared" si="73"/>
        <v>38411</v>
      </c>
      <c r="AQ40" s="27">
        <f t="shared" si="73"/>
        <v>1</v>
      </c>
      <c r="AR40" s="77">
        <f t="shared" si="73"/>
        <v>152</v>
      </c>
      <c r="AS40" s="28">
        <f t="shared" si="73"/>
        <v>38411</v>
      </c>
      <c r="AT40" s="27">
        <f t="shared" si="73"/>
        <v>1</v>
      </c>
      <c r="AU40" s="77">
        <f t="shared" si="73"/>
        <v>168</v>
      </c>
      <c r="AV40" s="28">
        <f t="shared" si="73"/>
        <v>38411</v>
      </c>
      <c r="AW40" s="27">
        <f t="shared" si="73"/>
        <v>1</v>
      </c>
      <c r="AX40" s="77">
        <f t="shared" si="73"/>
        <v>176</v>
      </c>
      <c r="AY40" s="28">
        <f t="shared" si="73"/>
        <v>38411</v>
      </c>
      <c r="AZ40" s="27">
        <f t="shared" si="73"/>
        <v>1</v>
      </c>
      <c r="BA40" s="77">
        <f t="shared" si="73"/>
        <v>184</v>
      </c>
      <c r="BB40" s="28">
        <f t="shared" si="73"/>
        <v>38411</v>
      </c>
      <c r="BC40" s="285">
        <f t="shared" si="48"/>
        <v>460849.2</v>
      </c>
    </row>
    <row r="41" spans="1:55" ht="15" thickBot="1" x14ac:dyDescent="0.35">
      <c r="A41" s="577"/>
      <c r="B41" s="340" t="s">
        <v>27</v>
      </c>
      <c r="C41" s="163"/>
      <c r="D41" s="178"/>
      <c r="E41" s="74"/>
      <c r="F41" s="189"/>
      <c r="G41" s="75"/>
      <c r="H41" s="227"/>
      <c r="I41" s="227"/>
      <c r="J41" s="227"/>
      <c r="K41" s="76"/>
      <c r="L41" s="29"/>
      <c r="M41" s="108"/>
      <c r="N41" s="113"/>
      <c r="O41" s="108"/>
      <c r="P41" s="108"/>
      <c r="Q41" s="99"/>
      <c r="R41" s="383" t="s">
        <v>27</v>
      </c>
      <c r="S41" s="25"/>
      <c r="T41" s="78">
        <f t="shared" ref="T41" si="74">S41*8*S40</f>
        <v>0</v>
      </c>
      <c r="U41" s="13"/>
      <c r="V41" s="25"/>
      <c r="W41" s="78">
        <f t="shared" ref="W41" si="75">V41*8*V40</f>
        <v>0</v>
      </c>
      <c r="X41" s="13"/>
      <c r="Y41" s="25">
        <v>1</v>
      </c>
      <c r="Z41" s="78">
        <f t="shared" ref="Z41" si="76">Y41*8*Y40</f>
        <v>8</v>
      </c>
      <c r="AA41" s="13"/>
      <c r="AB41" s="25"/>
      <c r="AC41" s="78">
        <f t="shared" ref="AC41" si="77">AB41*8*AB40</f>
        <v>0</v>
      </c>
      <c r="AD41" s="13"/>
      <c r="AE41" s="25"/>
      <c r="AF41" s="78">
        <f t="shared" ref="AF41" si="78">AE41*8*AE40</f>
        <v>0</v>
      </c>
      <c r="AG41" s="13"/>
      <c r="AH41" s="25">
        <v>5</v>
      </c>
      <c r="AI41" s="78">
        <f t="shared" ref="AI41" si="79">AH41*8*AH40</f>
        <v>40</v>
      </c>
      <c r="AJ41" s="13"/>
      <c r="AK41" s="25"/>
      <c r="AL41" s="78">
        <f t="shared" ref="AL41" si="80">AK41*8*AK40</f>
        <v>0</v>
      </c>
      <c r="AM41" s="13"/>
      <c r="AN41" s="25">
        <v>7</v>
      </c>
      <c r="AO41" s="78">
        <f t="shared" ref="AO41" si="81">AN41*8*AN40</f>
        <v>56</v>
      </c>
      <c r="AP41" s="13"/>
      <c r="AQ41" s="25">
        <v>3</v>
      </c>
      <c r="AR41" s="78">
        <f t="shared" ref="AR41" si="82">AQ41*8*AQ40</f>
        <v>24</v>
      </c>
      <c r="AS41" s="13"/>
      <c r="AT41" s="25"/>
      <c r="AU41" s="78">
        <f t="shared" ref="AU41" si="83">AT41*8*AT40</f>
        <v>0</v>
      </c>
      <c r="AV41" s="13"/>
      <c r="AW41" s="25"/>
      <c r="AX41" s="78">
        <f t="shared" ref="AX41" si="84">AW41*8*AW40</f>
        <v>0</v>
      </c>
      <c r="AY41" s="13"/>
      <c r="AZ41" s="25"/>
      <c r="BA41" s="78">
        <f t="shared" ref="BA41" si="85">AZ41*8*AZ40</f>
        <v>0</v>
      </c>
      <c r="BB41" s="13"/>
      <c r="BC41" s="344">
        <f>(25+'PŘEHLED 2020'!BA33)-(S41+V41+Y41+AB41+AE41+AH41+AK41+AN41+AQ41+AT41+AW41+AZ41)</f>
        <v>9</v>
      </c>
    </row>
    <row r="42" spans="1:55" ht="15" thickBot="1" x14ac:dyDescent="0.35">
      <c r="A42" s="536" t="s">
        <v>66</v>
      </c>
      <c r="B42" s="62" t="s">
        <v>7</v>
      </c>
      <c r="C42" s="197" t="s">
        <v>57</v>
      </c>
      <c r="D42" s="176">
        <v>0</v>
      </c>
      <c r="E42" s="131" t="s">
        <v>1</v>
      </c>
      <c r="F42" s="187" t="s">
        <v>50</v>
      </c>
      <c r="G42" s="132">
        <v>43891</v>
      </c>
      <c r="H42" s="221"/>
      <c r="I42" s="221"/>
      <c r="J42" s="221"/>
      <c r="K42" s="130"/>
      <c r="L42" s="133">
        <v>43891</v>
      </c>
      <c r="M42" s="132">
        <v>44255</v>
      </c>
      <c r="N42" s="134" t="s">
        <v>49</v>
      </c>
      <c r="O42" s="15">
        <f>17088+5696+5696</f>
        <v>28480</v>
      </c>
      <c r="P42" s="15">
        <f>5000+5000+15000</f>
        <v>25000</v>
      </c>
      <c r="Q42" s="262">
        <f>P42+O42</f>
        <v>53480</v>
      </c>
      <c r="R42" s="62" t="s">
        <v>7</v>
      </c>
      <c r="S42" s="381">
        <v>0.05</v>
      </c>
      <c r="T42" s="117">
        <f>(S$12*S42)-(T$47*S42)</f>
        <v>8.4</v>
      </c>
      <c r="U42" s="18">
        <f>(1/S$46)*IF(S$11&lt;$M$42,$Q$42,$Q$43)*S42</f>
        <v>2673.9999999999995</v>
      </c>
      <c r="V42" s="24">
        <v>0.05</v>
      </c>
      <c r="W42" s="117">
        <f>(V$12*V42)-(W$47*V42)</f>
        <v>8</v>
      </c>
      <c r="X42" s="18">
        <f>(1/V$46)*IF(V$11&lt;$M$42,$Q$42,$Q$43)*V42</f>
        <v>2673.9999999999995</v>
      </c>
      <c r="Y42" s="24">
        <v>0.05</v>
      </c>
      <c r="Z42" s="117">
        <f>(Y$12*Y42)-(Z$47*Y42)</f>
        <v>9.2000000000000011</v>
      </c>
      <c r="AA42" s="18">
        <f>(1/Y$46)*IF(Y$11&lt;$M$42,$Q$42,$Q$43)*Y42</f>
        <v>2724.9999999999995</v>
      </c>
      <c r="AB42" s="24">
        <v>0.05</v>
      </c>
      <c r="AC42" s="117">
        <f>(AB$12*AB42)-(AC$47*AB42)</f>
        <v>8.8000000000000007</v>
      </c>
      <c r="AD42" s="18">
        <f>(1/AB$46)*IF(AB$11&lt;$M$42,$Q$42,$Q$43)*AB42</f>
        <v>2724.9999999999995</v>
      </c>
      <c r="AE42" s="24">
        <v>0.05</v>
      </c>
      <c r="AF42" s="117">
        <f>(AE$12*AE42)-(AF$47*AE42)</f>
        <v>8.4</v>
      </c>
      <c r="AG42" s="18">
        <f>(1/AE$46)*IF(AE$11&lt;$M$42,$Q$42,$Q$43)*AE42</f>
        <v>2724.9999999999995</v>
      </c>
      <c r="AH42" s="24">
        <v>0.05</v>
      </c>
      <c r="AI42" s="117">
        <f>(AH$12*AH42)-(AI$47*AH42)</f>
        <v>8</v>
      </c>
      <c r="AJ42" s="18">
        <f>(1/AH$46)*IF(AH$11&lt;$M$42,$Q$42,$Q$43)*AH42</f>
        <v>2724.9999999999995</v>
      </c>
      <c r="AK42" s="24">
        <v>0.05</v>
      </c>
      <c r="AL42" s="117">
        <f>(AK$12*AK42)-(AL$47*AK42)</f>
        <v>7.6000000000000005</v>
      </c>
      <c r="AM42" s="18">
        <f>(1/AK$46)*IF(AK$11&lt;$M$42,$Q$42,$Q$43)*AK42</f>
        <v>2724.9999999999995</v>
      </c>
      <c r="AN42" s="24">
        <v>0.05</v>
      </c>
      <c r="AO42" s="117">
        <f>(AN$12*AN42)-(AO$47*AN42)</f>
        <v>8.8000000000000007</v>
      </c>
      <c r="AP42" s="18">
        <f>(1/AN$46)*IF(AN$11&lt;$M$42,$Q$42,$Q$43)*AN42</f>
        <v>2724.9999999999995</v>
      </c>
      <c r="AQ42" s="24">
        <v>0.05</v>
      </c>
      <c r="AR42" s="117">
        <f>(AQ$12*AQ42)-(AR$47*AQ42)</f>
        <v>7.6000000000000005</v>
      </c>
      <c r="AS42" s="18">
        <f>(1/AQ$46)*IF(AQ$11&lt;$M$42,$Q$42,$Q$43)*AQ42</f>
        <v>2724.9999999999995</v>
      </c>
      <c r="AT42" s="24">
        <v>0.05</v>
      </c>
      <c r="AU42" s="117">
        <f>(AT$12*AT42)-(AU$47*AT42)</f>
        <v>8.4</v>
      </c>
      <c r="AV42" s="18">
        <f>(1/AT$46)*IF(AT$11&lt;$M$42,$Q$42,$Q$43)*AT42</f>
        <v>2724.9999999999995</v>
      </c>
      <c r="AW42" s="24">
        <v>0.05</v>
      </c>
      <c r="AX42" s="117">
        <f>(AW$12*AW42)-(AX$47*AW42)</f>
        <v>8.8000000000000007</v>
      </c>
      <c r="AY42" s="18">
        <f>(1/AW$46)*IF(AW$11&lt;$M$42,$Q$42,$Q$43)*AW42</f>
        <v>2724.9999999999995</v>
      </c>
      <c r="AZ42" s="24">
        <v>0.05</v>
      </c>
      <c r="BA42" s="117">
        <f>(AZ$12*AZ42)-(BA$47*AZ42)</f>
        <v>9.2000000000000011</v>
      </c>
      <c r="BB42" s="18">
        <f>(1/AZ$46)*IF(AZ$11&lt;$M$42,$Q$42,$Q$43)*AZ42</f>
        <v>2724.9999999999995</v>
      </c>
      <c r="BC42" s="285">
        <f t="shared" si="48"/>
        <v>32597.999999999996</v>
      </c>
    </row>
    <row r="43" spans="1:55" ht="15" thickBot="1" x14ac:dyDescent="0.35">
      <c r="A43" s="537"/>
      <c r="B43" s="63" t="s">
        <v>6</v>
      </c>
      <c r="C43" s="217" t="s">
        <v>58</v>
      </c>
      <c r="D43" s="177"/>
      <c r="E43" s="11"/>
      <c r="F43" s="193" t="s">
        <v>50</v>
      </c>
      <c r="G43" s="10">
        <v>43891</v>
      </c>
      <c r="H43" s="225">
        <v>45230</v>
      </c>
      <c r="I43" s="225"/>
      <c r="J43" s="225"/>
      <c r="K43" s="19"/>
      <c r="L43" s="110">
        <v>44256</v>
      </c>
      <c r="M43" s="10">
        <v>44561</v>
      </c>
      <c r="N43" s="107" t="s">
        <v>48</v>
      </c>
      <c r="O43" s="98">
        <v>29500</v>
      </c>
      <c r="P43" s="22">
        <v>25000</v>
      </c>
      <c r="Q43" s="379">
        <v>54500</v>
      </c>
      <c r="R43" s="63" t="s">
        <v>6</v>
      </c>
      <c r="S43" s="381">
        <v>0.65</v>
      </c>
      <c r="T43" s="117">
        <f>(S$12*S43)-(T$47*S43)</f>
        <v>109.2</v>
      </c>
      <c r="U43" s="18">
        <f>(1/S$46)*IF(S$11&lt;$M$42,$Q$42,$Q$43)*S43</f>
        <v>34761.999999999993</v>
      </c>
      <c r="V43" s="24">
        <v>0.65</v>
      </c>
      <c r="W43" s="117">
        <f>(V$12*V43)-(W$47*V43)</f>
        <v>104</v>
      </c>
      <c r="X43" s="18">
        <f>(1/V$46)*IF(V$11&lt;$M$42,$Q$42,$Q$43)*V43</f>
        <v>34761.999999999993</v>
      </c>
      <c r="Y43" s="24">
        <v>0.65</v>
      </c>
      <c r="Z43" s="117">
        <f>(Y$12*Y43)-(Z$47*Y43)</f>
        <v>119.60000000000001</v>
      </c>
      <c r="AA43" s="18">
        <v>35425</v>
      </c>
      <c r="AB43" s="24">
        <v>0.65</v>
      </c>
      <c r="AC43" s="117">
        <f>(AB$12*AB43)-(AC$47*AB43)</f>
        <v>114.4</v>
      </c>
      <c r="AD43" s="18">
        <v>35425</v>
      </c>
      <c r="AE43" s="24">
        <v>0.65</v>
      </c>
      <c r="AF43" s="117">
        <f>(AE$12*AE43)-(AF$47*AE43)</f>
        <v>109.2</v>
      </c>
      <c r="AG43" s="18">
        <f>(1/AE$46)*IF(AE$11&lt;$M$42,$Q$42,$Q$43)*AE43</f>
        <v>35424.999999999993</v>
      </c>
      <c r="AH43" s="24">
        <v>0.65</v>
      </c>
      <c r="AI43" s="117">
        <f>(AH$12*AH43)-(AI$47*AH43)</f>
        <v>104</v>
      </c>
      <c r="AJ43" s="18">
        <f>(1/AH$46)*IF(AH$11&lt;$M$42,$Q$42,$Q$43)*AH43</f>
        <v>35424.999999999993</v>
      </c>
      <c r="AK43" s="24">
        <v>0.65</v>
      </c>
      <c r="AL43" s="117">
        <f>(AK$12*AK43)-(AL$47*AK43)</f>
        <v>98.8</v>
      </c>
      <c r="AM43" s="18">
        <f>(1/AK$46)*IF(AK$11&lt;$M$42,$Q$42,$Q$43)*AK43</f>
        <v>35424.999999999993</v>
      </c>
      <c r="AN43" s="24">
        <v>0.65</v>
      </c>
      <c r="AO43" s="117">
        <f>(AN$12*AN43)-(AO$47*AN43)</f>
        <v>114.4</v>
      </c>
      <c r="AP43" s="18">
        <f>(1/AN$46)*IF(AN$11&lt;$M$42,$Q$42,$Q$43)*AN43</f>
        <v>35424.999999999993</v>
      </c>
      <c r="AQ43" s="24">
        <v>0.65</v>
      </c>
      <c r="AR43" s="117">
        <f>(AQ$12*AQ43)-(AR$47*AQ43)</f>
        <v>98.8</v>
      </c>
      <c r="AS43" s="18">
        <f>(1/AQ$46)*IF(AQ$11&lt;$M$42,$Q$42,$Q$43)*AQ43</f>
        <v>35424.999999999993</v>
      </c>
      <c r="AT43" s="24">
        <v>0.65</v>
      </c>
      <c r="AU43" s="117">
        <f>(AT$12*AT43)-(AU$47*AT43)</f>
        <v>109.2</v>
      </c>
      <c r="AV43" s="18">
        <f>(1/AT$46)*IF(AT$11&lt;$M$42,$Q$42,$Q$43)*AT43</f>
        <v>35424.999999999993</v>
      </c>
      <c r="AW43" s="24">
        <v>0.65</v>
      </c>
      <c r="AX43" s="117">
        <f>(AW$12*AW43)-(AX$47*AW43)</f>
        <v>114.4</v>
      </c>
      <c r="AY43" s="18">
        <f>(1/AW$46)*IF(AW$11&lt;$M$42,$Q$42,$Q$43)*AW43</f>
        <v>35424.999999999993</v>
      </c>
      <c r="AZ43" s="24">
        <v>0.65</v>
      </c>
      <c r="BA43" s="117">
        <f>(AZ$12*AZ43)-(BA$47*AZ43)</f>
        <v>119.60000000000001</v>
      </c>
      <c r="BB43" s="18">
        <f>(1/AZ$46)*IF(AZ$11&lt;$M$42,$Q$42,$Q$43)*AZ43</f>
        <v>35424.999999999993</v>
      </c>
      <c r="BC43" s="285">
        <f t="shared" si="48"/>
        <v>423774</v>
      </c>
    </row>
    <row r="44" spans="1:55" ht="15" thickBot="1" x14ac:dyDescent="0.35">
      <c r="A44" s="537"/>
      <c r="B44" s="63" t="s">
        <v>9</v>
      </c>
      <c r="C44" s="217" t="s">
        <v>58</v>
      </c>
      <c r="D44" s="177"/>
      <c r="E44" s="11"/>
      <c r="F44" s="193" t="s">
        <v>50</v>
      </c>
      <c r="G44" s="10">
        <v>43891</v>
      </c>
      <c r="H44" s="222">
        <v>44742</v>
      </c>
      <c r="I44" s="222"/>
      <c r="J44" s="222"/>
      <c r="K44" s="19"/>
      <c r="L44" s="115"/>
      <c r="M44" s="114"/>
      <c r="N44" s="122"/>
      <c r="O44" s="114"/>
      <c r="P44" s="114"/>
      <c r="Q44" s="380"/>
      <c r="R44" s="63" t="s">
        <v>9</v>
      </c>
      <c r="S44" s="454">
        <v>0.2</v>
      </c>
      <c r="T44" s="117">
        <f>(S$12*S44)-(T$47*S44)</f>
        <v>33.6</v>
      </c>
      <c r="U44" s="18">
        <f>(1/S$46)*IF(S$11&lt;$M$42,$Q$42,$Q$43)*S44</f>
        <v>10695.999999999998</v>
      </c>
      <c r="V44" s="24">
        <v>0.2</v>
      </c>
      <c r="W44" s="117">
        <f>(V$12*V44)-(W$47*V44)</f>
        <v>32</v>
      </c>
      <c r="X44" s="18">
        <f>(1/V$46)*IF(V$11&lt;$M$42,$Q$42,$Q$43)*V44</f>
        <v>10695.999999999998</v>
      </c>
      <c r="Y44" s="24">
        <v>0.2</v>
      </c>
      <c r="Z44" s="117">
        <f>(Y$12*Y44)-(Z$47*Y44)</f>
        <v>36.800000000000004</v>
      </c>
      <c r="AA44" s="18">
        <f>(1/Y$46)*IF(Y$11&lt;$M$42,$Q$42,$Q$43)*Y44</f>
        <v>10899.999999999998</v>
      </c>
      <c r="AB44" s="24">
        <v>0.2</v>
      </c>
      <c r="AC44" s="117">
        <f>(AB$12*AB44)-(AC$47*AB44)</f>
        <v>35.200000000000003</v>
      </c>
      <c r="AD44" s="18">
        <f>(1/AB$46)*IF(AB$11&lt;$M$42,$Q$42,$Q$43)*AB44</f>
        <v>10899.999999999998</v>
      </c>
      <c r="AE44" s="24">
        <v>0.2</v>
      </c>
      <c r="AF44" s="117">
        <f>(AE$12*AE44)-(AF$47*AE44)</f>
        <v>33.6</v>
      </c>
      <c r="AG44" s="18">
        <f>(1/AE$46)*IF(AE$11&lt;$M$42,$Q$42,$Q$43)*AE44</f>
        <v>10899.999999999998</v>
      </c>
      <c r="AH44" s="24">
        <v>0.2</v>
      </c>
      <c r="AI44" s="117">
        <f>(AH$12*AH44)-(AI$47*AH44)</f>
        <v>32</v>
      </c>
      <c r="AJ44" s="18">
        <f>(1/AH$46)*IF(AH$11&lt;$M$42,$Q$42,$Q$43)*AH44</f>
        <v>10899.999999999998</v>
      </c>
      <c r="AK44" s="24">
        <v>0.2</v>
      </c>
      <c r="AL44" s="117">
        <f>(AK$12*AK44)-(AL$47*AK44)</f>
        <v>30.400000000000002</v>
      </c>
      <c r="AM44" s="18">
        <f>(1/AK$46)*IF(AK$11&lt;$M$42,$Q$42,$Q$43)*AK44</f>
        <v>10899.999999999998</v>
      </c>
      <c r="AN44" s="24">
        <v>0.2</v>
      </c>
      <c r="AO44" s="117">
        <f>(AN$12*AN44)-(AO$47*AN44)</f>
        <v>35.200000000000003</v>
      </c>
      <c r="AP44" s="18">
        <f>(1/AN$46)*IF(AN$11&lt;$M$42,$Q$42,$Q$43)*AN44</f>
        <v>10899.999999999998</v>
      </c>
      <c r="AQ44" s="24">
        <v>0.2</v>
      </c>
      <c r="AR44" s="117">
        <f>(AQ$12*AQ44)-(AR$47*AQ44)</f>
        <v>30.400000000000002</v>
      </c>
      <c r="AS44" s="18">
        <f>(1/AQ$46)*IF(AQ$11&lt;$M$42,$Q$42,$Q$43)*AQ44</f>
        <v>10899.999999999998</v>
      </c>
      <c r="AT44" s="24">
        <v>0.2</v>
      </c>
      <c r="AU44" s="117">
        <f>(AT$12*AT44)-(AU$47*AT44)</f>
        <v>33.6</v>
      </c>
      <c r="AV44" s="18">
        <f>(1/AT$46)*IF(AT$11&lt;$M$42,$Q$42,$Q$43)*AT44</f>
        <v>10899.999999999998</v>
      </c>
      <c r="AW44" s="24">
        <v>0.2</v>
      </c>
      <c r="AX44" s="117">
        <f>(AW$12*AW44)-(AX$47*AW44)</f>
        <v>35.200000000000003</v>
      </c>
      <c r="AY44" s="18">
        <f>(1/AW$46)*IF(AW$11&lt;$M$42,$Q$42,$Q$43)*AW44</f>
        <v>10899.999999999998</v>
      </c>
      <c r="AZ44" s="24">
        <v>0.2</v>
      </c>
      <c r="BA44" s="117">
        <f>(AZ$12*AZ44)-(BA$47*AZ44)</f>
        <v>36.800000000000004</v>
      </c>
      <c r="BB44" s="18">
        <f>(1/AZ$46)*IF(AZ$11&lt;$M$42,$Q$42,$Q$43)*AZ44</f>
        <v>10899.999999999998</v>
      </c>
      <c r="BC44" s="285">
        <f>SUM(U44,X44,AA44,AD44,AG44,AJ44,AM44,AP44,AS44,AV44,AY44,BB44)</f>
        <v>130391.99999999999</v>
      </c>
    </row>
    <row r="45" spans="1:55" ht="15" thickBot="1" x14ac:dyDescent="0.35">
      <c r="A45" s="537"/>
      <c r="B45" s="63" t="s">
        <v>32</v>
      </c>
      <c r="C45" s="217" t="s">
        <v>58</v>
      </c>
      <c r="D45" s="177"/>
      <c r="E45" s="11"/>
      <c r="F45" s="193" t="s">
        <v>50</v>
      </c>
      <c r="G45" s="10">
        <v>44197</v>
      </c>
      <c r="H45" s="225">
        <v>44926</v>
      </c>
      <c r="I45" s="225"/>
      <c r="J45" s="225"/>
      <c r="K45" s="19"/>
      <c r="L45" s="115"/>
      <c r="M45" s="114"/>
      <c r="N45" s="122"/>
      <c r="O45" s="114"/>
      <c r="P45" s="114"/>
      <c r="Q45" s="380"/>
      <c r="R45" s="63" t="s">
        <v>32</v>
      </c>
      <c r="S45" s="381">
        <v>0.1</v>
      </c>
      <c r="T45" s="117">
        <f>(S$12*S45)-(T$47*S45)</f>
        <v>16.8</v>
      </c>
      <c r="U45" s="18">
        <f>(1/S$46)*IF(S$11&lt;$M$42,$Q$42,$Q$43)*S45</f>
        <v>5347.9999999999991</v>
      </c>
      <c r="V45" s="24">
        <v>0.1</v>
      </c>
      <c r="W45" s="117">
        <f>(V$12*V45)-(W$47*V45)</f>
        <v>16</v>
      </c>
      <c r="X45" s="18">
        <f>(1/V$46)*IF(V$11&lt;$M$42,$Q$42,$Q$43)*V45</f>
        <v>5347.9999999999991</v>
      </c>
      <c r="Y45" s="24">
        <v>0.1</v>
      </c>
      <c r="Z45" s="117">
        <f>(Y$12*Y45)-(Z$47*Y45)</f>
        <v>18.400000000000002</v>
      </c>
      <c r="AA45" s="18">
        <f>(1/Y$46)*IF(Y$11&lt;$M$42,$Q$42,$Q$43)*Y45</f>
        <v>5449.9999999999991</v>
      </c>
      <c r="AB45" s="24">
        <v>0.1</v>
      </c>
      <c r="AC45" s="117">
        <f>(AB$12*AB45)-(AC$47*AB45)</f>
        <v>17.600000000000001</v>
      </c>
      <c r="AD45" s="18">
        <f>(1/AB$46)*IF(AB$11&lt;$M$42,$Q$42,$Q$43)*AB45</f>
        <v>5449.9999999999991</v>
      </c>
      <c r="AE45" s="24">
        <v>0.1</v>
      </c>
      <c r="AF45" s="117">
        <f>(AE$12*AE45)-(AF$47*AE45)</f>
        <v>16.8</v>
      </c>
      <c r="AG45" s="18">
        <f>(1/AE$46)*IF(AE$11&lt;$M$42,$Q$42,$Q$43)*AE45</f>
        <v>5449.9999999999991</v>
      </c>
      <c r="AH45" s="24">
        <v>0.1</v>
      </c>
      <c r="AI45" s="117">
        <f>(AH$12*AH45)-(AI$47*AH45)</f>
        <v>16</v>
      </c>
      <c r="AJ45" s="18">
        <f>(1/AH$46)*IF(AH$11&lt;$M$42,$Q$42,$Q$43)*AH45</f>
        <v>5449.9999999999991</v>
      </c>
      <c r="AK45" s="24">
        <v>0.1</v>
      </c>
      <c r="AL45" s="117">
        <f>(AK$12*AK45)-(AL$47*AK45)</f>
        <v>15.200000000000001</v>
      </c>
      <c r="AM45" s="18">
        <f>(1/AK$46)*IF(AK$11&lt;$M$42,$Q$42,$Q$43)*AK45</f>
        <v>5449.9999999999991</v>
      </c>
      <c r="AN45" s="24">
        <v>0.1</v>
      </c>
      <c r="AO45" s="117">
        <f>(AN$12*AN45)-(AO$47*AN45)</f>
        <v>17.600000000000001</v>
      </c>
      <c r="AP45" s="18">
        <f>(1/AN$46)*IF(AN$11&lt;$M$42,$Q$42,$Q$43)*AN45</f>
        <v>5449.9999999999991</v>
      </c>
      <c r="AQ45" s="24">
        <v>0.1</v>
      </c>
      <c r="AR45" s="117">
        <f>(AQ$12*AQ45)-(AR$47*AQ45)</f>
        <v>15.200000000000001</v>
      </c>
      <c r="AS45" s="18">
        <f>(1/AQ$46)*IF(AQ$11&lt;$M$42,$Q$42,$Q$43)*AQ45</f>
        <v>5449.9999999999991</v>
      </c>
      <c r="AT45" s="24">
        <v>0.1</v>
      </c>
      <c r="AU45" s="117">
        <f>(AT$12*AT45)-(AU$47*AT45)</f>
        <v>16.8</v>
      </c>
      <c r="AV45" s="18">
        <f>(1/AT$46)*IF(AT$11&lt;$M$42,$Q$42,$Q$43)*AT45</f>
        <v>5449.9999999999991</v>
      </c>
      <c r="AW45" s="24">
        <v>0.1</v>
      </c>
      <c r="AX45" s="117">
        <f>(AW$12*AW45)-(AX$47*AW45)</f>
        <v>17.600000000000001</v>
      </c>
      <c r="AY45" s="18">
        <f>(1/AW$46)*IF(AW$11&lt;$M$42,$Q$42,$Q$43)*AW45</f>
        <v>5449.9999999999991</v>
      </c>
      <c r="AZ45" s="24">
        <v>0.1</v>
      </c>
      <c r="BA45" s="117">
        <f>(AZ$12*AZ45)-(BA$47*AZ45)</f>
        <v>18.400000000000002</v>
      </c>
      <c r="BB45" s="18">
        <f>(1/AZ$46)*IF(AZ$11&lt;$M$42,$Q$42,$Q$43)*AZ45</f>
        <v>5449.9999999999991</v>
      </c>
      <c r="BC45" s="285">
        <f>SUM(U45,X45,AA45,AD45,AG45,AJ45,AM45,AP45,AS45,AV45,AY45,BB45)</f>
        <v>65195.999999999993</v>
      </c>
    </row>
    <row r="46" spans="1:55" ht="15" thickBot="1" x14ac:dyDescent="0.35">
      <c r="A46" s="537"/>
      <c r="B46" s="63" t="s">
        <v>36</v>
      </c>
      <c r="C46" s="219"/>
      <c r="D46" s="177"/>
      <c r="E46" s="11"/>
      <c r="F46" s="188"/>
      <c r="G46" s="10"/>
      <c r="H46" s="225"/>
      <c r="I46" s="225"/>
      <c r="J46" s="225"/>
      <c r="K46" s="19"/>
      <c r="L46" s="20"/>
      <c r="M46" s="1"/>
      <c r="N46" s="1"/>
      <c r="O46" s="1"/>
      <c r="P46" s="1"/>
      <c r="Q46" s="18"/>
      <c r="R46" s="63" t="s">
        <v>36</v>
      </c>
      <c r="S46" s="305">
        <f>SUM(S42:S45)</f>
        <v>1.0000000000000002</v>
      </c>
      <c r="T46" s="77">
        <f>SUM(T42:T45)</f>
        <v>168.00000000000003</v>
      </c>
      <c r="U46" s="28">
        <f>SUM(U42:U45)</f>
        <v>53479.999999999993</v>
      </c>
      <c r="V46" s="274">
        <f t="shared" ref="V46:BB46" si="86">SUM(V42:V45)</f>
        <v>1.0000000000000002</v>
      </c>
      <c r="W46" s="77">
        <f t="shared" si="86"/>
        <v>160</v>
      </c>
      <c r="X46" s="28">
        <f t="shared" si="86"/>
        <v>53479.999999999993</v>
      </c>
      <c r="Y46" s="274">
        <f t="shared" si="86"/>
        <v>1.0000000000000002</v>
      </c>
      <c r="Z46" s="77">
        <f t="shared" si="86"/>
        <v>184.00000000000003</v>
      </c>
      <c r="AA46" s="28">
        <f t="shared" si="86"/>
        <v>54500</v>
      </c>
      <c r="AB46" s="274">
        <f t="shared" si="86"/>
        <v>1.0000000000000002</v>
      </c>
      <c r="AC46" s="77">
        <f t="shared" si="86"/>
        <v>176</v>
      </c>
      <c r="AD46" s="28">
        <f t="shared" si="86"/>
        <v>54500</v>
      </c>
      <c r="AE46" s="274">
        <f t="shared" si="86"/>
        <v>1.0000000000000002</v>
      </c>
      <c r="AF46" s="77">
        <f t="shared" si="86"/>
        <v>168.00000000000003</v>
      </c>
      <c r="AG46" s="28">
        <f t="shared" si="86"/>
        <v>54499.999999999993</v>
      </c>
      <c r="AH46" s="274">
        <f t="shared" si="86"/>
        <v>1.0000000000000002</v>
      </c>
      <c r="AI46" s="77">
        <f t="shared" si="86"/>
        <v>160</v>
      </c>
      <c r="AJ46" s="28">
        <f t="shared" si="86"/>
        <v>54499.999999999993</v>
      </c>
      <c r="AK46" s="274">
        <f t="shared" si="86"/>
        <v>1.0000000000000002</v>
      </c>
      <c r="AL46" s="77">
        <f t="shared" si="86"/>
        <v>151.99999999999997</v>
      </c>
      <c r="AM46" s="28">
        <f t="shared" si="86"/>
        <v>54499.999999999993</v>
      </c>
      <c r="AN46" s="274">
        <f t="shared" si="86"/>
        <v>1.0000000000000002</v>
      </c>
      <c r="AO46" s="77">
        <f t="shared" si="86"/>
        <v>176</v>
      </c>
      <c r="AP46" s="28">
        <f t="shared" si="86"/>
        <v>54499.999999999993</v>
      </c>
      <c r="AQ46" s="274">
        <f t="shared" si="86"/>
        <v>1.0000000000000002</v>
      </c>
      <c r="AR46" s="77">
        <f t="shared" si="86"/>
        <v>151.99999999999997</v>
      </c>
      <c r="AS46" s="28">
        <f t="shared" si="86"/>
        <v>54499.999999999993</v>
      </c>
      <c r="AT46" s="274">
        <f t="shared" si="86"/>
        <v>1.0000000000000002</v>
      </c>
      <c r="AU46" s="77">
        <f t="shared" si="86"/>
        <v>168.00000000000003</v>
      </c>
      <c r="AV46" s="28">
        <f t="shared" si="86"/>
        <v>54499.999999999993</v>
      </c>
      <c r="AW46" s="274">
        <f t="shared" si="86"/>
        <v>1.0000000000000002</v>
      </c>
      <c r="AX46" s="77">
        <f t="shared" si="86"/>
        <v>176</v>
      </c>
      <c r="AY46" s="28">
        <f t="shared" si="86"/>
        <v>54499.999999999993</v>
      </c>
      <c r="AZ46" s="274">
        <f t="shared" si="86"/>
        <v>1.0000000000000002</v>
      </c>
      <c r="BA46" s="77">
        <f t="shared" si="86"/>
        <v>184.00000000000003</v>
      </c>
      <c r="BB46" s="28">
        <f t="shared" si="86"/>
        <v>54499.999999999993</v>
      </c>
      <c r="BC46" s="285">
        <f t="shared" si="48"/>
        <v>651960</v>
      </c>
    </row>
    <row r="47" spans="1:55" ht="15" thickBot="1" x14ac:dyDescent="0.35">
      <c r="A47" s="538"/>
      <c r="B47" s="340" t="s">
        <v>27</v>
      </c>
      <c r="C47" s="164"/>
      <c r="D47" s="178"/>
      <c r="E47" s="74"/>
      <c r="F47" s="189"/>
      <c r="G47" s="75"/>
      <c r="H47" s="227"/>
      <c r="I47" s="227"/>
      <c r="J47" s="227"/>
      <c r="K47" s="76"/>
      <c r="L47" s="29"/>
      <c r="M47" s="7"/>
      <c r="N47" s="7"/>
      <c r="O47" s="7"/>
      <c r="P47" s="7"/>
      <c r="Q47" s="16"/>
      <c r="R47" s="339" t="s">
        <v>27</v>
      </c>
      <c r="S47" s="382"/>
      <c r="T47" s="47">
        <f>S47*8*S46</f>
        <v>0</v>
      </c>
      <c r="U47" s="48"/>
      <c r="V47" s="46"/>
      <c r="W47" s="47">
        <f>V47*8*V46</f>
        <v>0</v>
      </c>
      <c r="X47" s="48"/>
      <c r="Y47" s="46"/>
      <c r="Z47" s="47">
        <f t="shared" ref="Z47" si="87">Y47*8*Y46</f>
        <v>0</v>
      </c>
      <c r="AA47" s="48"/>
      <c r="AB47" s="46"/>
      <c r="AC47" s="47">
        <f t="shared" ref="AC47" si="88">AB47*8*AB46</f>
        <v>0</v>
      </c>
      <c r="AD47" s="48"/>
      <c r="AE47" s="46"/>
      <c r="AF47" s="47">
        <f t="shared" ref="AF47" si="89">AE47*8*AE46</f>
        <v>0</v>
      </c>
      <c r="AG47" s="48"/>
      <c r="AH47" s="46">
        <v>2</v>
      </c>
      <c r="AI47" s="47">
        <f t="shared" ref="AI47" si="90">AH47*8*AH46</f>
        <v>16.000000000000004</v>
      </c>
      <c r="AJ47" s="48"/>
      <c r="AK47" s="46">
        <v>3</v>
      </c>
      <c r="AL47" s="47">
        <f t="shared" ref="AL47" si="91">AK47*8*AK46</f>
        <v>24.000000000000007</v>
      </c>
      <c r="AM47" s="48"/>
      <c r="AN47" s="46"/>
      <c r="AO47" s="47">
        <f t="shared" ref="AO47" si="92">AN47*8*AN46</f>
        <v>0</v>
      </c>
      <c r="AP47" s="48"/>
      <c r="AQ47" s="46">
        <v>3</v>
      </c>
      <c r="AR47" s="47">
        <f t="shared" ref="AR47" si="93">AQ47*8*AQ46</f>
        <v>24.000000000000007</v>
      </c>
      <c r="AS47" s="48"/>
      <c r="AT47" s="46"/>
      <c r="AU47" s="47">
        <f t="shared" ref="AU47" si="94">AT47*8*AT46</f>
        <v>0</v>
      </c>
      <c r="AV47" s="48"/>
      <c r="AW47" s="46"/>
      <c r="AX47" s="47">
        <f t="shared" ref="AX47" si="95">AW47*8*AW46</f>
        <v>0</v>
      </c>
      <c r="AY47" s="48"/>
      <c r="AZ47" s="46"/>
      <c r="BA47" s="47">
        <f t="shared" ref="BA47" si="96">AZ47*8*AZ46</f>
        <v>0</v>
      </c>
      <c r="BB47" s="275"/>
      <c r="BC47" s="344">
        <f>(25+'PŘEHLED 2020'!BA38)-(S47+V47+Y47+AB47+AE47+AH47+AK47+AN47+AQ47+AT47+AW47+AZ47)</f>
        <v>17</v>
      </c>
    </row>
    <row r="48" spans="1:55" ht="15" thickBot="1" x14ac:dyDescent="0.35">
      <c r="A48" s="356" t="s">
        <v>67</v>
      </c>
      <c r="B48" s="357"/>
      <c r="C48" s="358"/>
      <c r="D48" s="359">
        <v>1</v>
      </c>
      <c r="E48" s="315" t="s">
        <v>3</v>
      </c>
      <c r="F48" s="360" t="s">
        <v>50</v>
      </c>
      <c r="G48" s="361"/>
      <c r="H48" s="362"/>
      <c r="I48" s="362"/>
      <c r="J48" s="362"/>
      <c r="K48" s="363" t="s">
        <v>10</v>
      </c>
      <c r="L48" s="373"/>
      <c r="M48" s="321"/>
      <c r="N48" s="143"/>
      <c r="O48" s="327"/>
      <c r="P48" s="327"/>
      <c r="Q48" s="374"/>
      <c r="R48" s="384"/>
      <c r="S48" s="314"/>
      <c r="T48" s="315"/>
      <c r="U48" s="313"/>
      <c r="V48" s="116"/>
      <c r="W48" s="116"/>
      <c r="X48" s="86"/>
      <c r="Y48" s="116"/>
      <c r="Z48" s="116"/>
      <c r="AA48" s="276"/>
      <c r="AB48" s="307"/>
      <c r="AC48" s="116"/>
      <c r="AD48" s="116"/>
      <c r="AE48" s="276"/>
      <c r="AF48" s="116"/>
      <c r="AG48" s="116"/>
      <c r="AH48" s="116"/>
      <c r="AI48" s="116"/>
      <c r="AJ48" s="86"/>
      <c r="AK48" s="116"/>
      <c r="AL48" s="116"/>
      <c r="AM48" s="86"/>
      <c r="AN48" s="116"/>
      <c r="AO48" s="116"/>
      <c r="AP48" s="276"/>
      <c r="AQ48" s="307"/>
      <c r="AR48" s="116"/>
      <c r="AS48" s="276"/>
      <c r="AT48" s="307"/>
      <c r="AU48" s="116"/>
      <c r="AV48" s="86"/>
      <c r="AW48" s="306"/>
      <c r="AX48" s="116"/>
      <c r="AY48" s="86"/>
      <c r="AZ48" s="116"/>
      <c r="BA48" s="116"/>
      <c r="BB48" s="276"/>
      <c r="BC48" s="285">
        <f t="shared" si="48"/>
        <v>0</v>
      </c>
    </row>
    <row r="49" spans="1:55" ht="15" thickBot="1" x14ac:dyDescent="0.35">
      <c r="A49" s="574" t="s">
        <v>81</v>
      </c>
      <c r="B49" s="62" t="s">
        <v>7</v>
      </c>
      <c r="C49" s="220" t="s">
        <v>58</v>
      </c>
      <c r="D49" s="170"/>
      <c r="E49" s="366"/>
      <c r="F49" s="360" t="s">
        <v>50</v>
      </c>
      <c r="G49" s="323">
        <v>44197</v>
      </c>
      <c r="H49" s="367"/>
      <c r="I49" s="445"/>
      <c r="J49" s="445"/>
      <c r="K49" s="370"/>
      <c r="L49" s="133">
        <v>44197</v>
      </c>
      <c r="M49" s="132">
        <v>44408</v>
      </c>
      <c r="N49" s="376" t="s">
        <v>124</v>
      </c>
      <c r="O49" s="15">
        <v>24660</v>
      </c>
      <c r="P49" s="15">
        <v>6000</v>
      </c>
      <c r="Q49" s="135">
        <f>P49+O49</f>
        <v>30660</v>
      </c>
      <c r="R49" s="38" t="s">
        <v>7</v>
      </c>
      <c r="S49" s="377">
        <v>0.05</v>
      </c>
      <c r="T49" s="212">
        <f>(S$12*S49)-(T$53*S49)</f>
        <v>8.4</v>
      </c>
      <c r="U49" s="213">
        <f>(1/S$52)*IF(S$11&lt;$M$49,$Q$49,$Q$50)*S49</f>
        <v>1533</v>
      </c>
      <c r="V49" s="377">
        <v>0.05</v>
      </c>
      <c r="W49" s="212">
        <f>(V$12*V49)-(W$53*V49)</f>
        <v>8</v>
      </c>
      <c r="X49" s="213">
        <f>(1/V$52)*IF(V$11&lt;$M$49,$Q$49,$Q$50)*V49</f>
        <v>1533</v>
      </c>
      <c r="Y49" s="377">
        <v>0.05</v>
      </c>
      <c r="Z49" s="212">
        <f>(Y$12*Y49)-(Z$53*Y49)</f>
        <v>9.2000000000000011</v>
      </c>
      <c r="AA49" s="213">
        <f>(1/Y$52)*IF(Y$11&lt;$M$49,$Q$49,$Q$50)*Y49</f>
        <v>1533</v>
      </c>
      <c r="AB49" s="377">
        <v>0.05</v>
      </c>
      <c r="AC49" s="212">
        <f>(AB$12*AB49)-(AC$53*AB49)</f>
        <v>8</v>
      </c>
      <c r="AD49" s="213">
        <f>(1/AB$52)*IF(AB$11&lt;$M$49,$Q$49,$Q$50)*AB49</f>
        <v>1533</v>
      </c>
      <c r="AE49" s="377">
        <v>0.05</v>
      </c>
      <c r="AF49" s="212">
        <f>(AE$12*AE49)-(AF$53*AE49)</f>
        <v>8.4</v>
      </c>
      <c r="AG49" s="213">
        <f>(1/AE$52)*IF(AE$11&lt;$M$49,$Q$49,$Q$50)*AE49</f>
        <v>1533</v>
      </c>
      <c r="AH49" s="377">
        <v>0.05</v>
      </c>
      <c r="AI49" s="212">
        <f>(AH$12*AH49)-(AI$53*AH49)</f>
        <v>8.4</v>
      </c>
      <c r="AJ49" s="213">
        <f>(1/AH$52)*IF(AH$11&lt;$M$49,$Q$49,$Q$50)*AH49</f>
        <v>1533</v>
      </c>
      <c r="AK49" s="377">
        <v>0.05</v>
      </c>
      <c r="AL49" s="212">
        <f>(AK$12*AK49)-(AL$53*AK49)</f>
        <v>7.6000000000000005</v>
      </c>
      <c r="AM49" s="213">
        <f>(1/AK$52)*IF(AK$11&lt;$M$49,$Q$49,$Q$50)*AK49</f>
        <v>1533</v>
      </c>
      <c r="AN49" s="377">
        <v>0.05</v>
      </c>
      <c r="AO49" s="212">
        <f>(AN$12*AN49)-(AO$53*AN49)</f>
        <v>6.8000000000000007</v>
      </c>
      <c r="AP49" s="455">
        <f>(1/AN$52)*IF(AN$11&lt;$M$49,$Q$49,$Q$50)*AN49</f>
        <v>1575.5500000000002</v>
      </c>
      <c r="AQ49" s="377">
        <v>0.05</v>
      </c>
      <c r="AR49" s="212">
        <f>(AQ$12*AQ49)-(AR$53*AQ49)</f>
        <v>7.2000000000000011</v>
      </c>
      <c r="AS49" s="455">
        <f>(1/AQ$52)*IF(AQ$11&lt;$M$49,$Q$49,$Q$50)*AQ49</f>
        <v>1575.5500000000002</v>
      </c>
      <c r="AT49" s="377">
        <v>0.05</v>
      </c>
      <c r="AU49" s="212">
        <f>(AT$12*AT49)-(AU$53*AT49)</f>
        <v>8.4</v>
      </c>
      <c r="AV49" s="455">
        <f>(1/AT$52)*IF(AT$11&lt;$M$49,$Q$49,$Q$50)*AT49</f>
        <v>1575.5500000000002</v>
      </c>
      <c r="AW49" s="377">
        <v>0.05</v>
      </c>
      <c r="AX49" s="212">
        <f>(AW$12*AW49)-(AX$53*AW49)</f>
        <v>8.8000000000000007</v>
      </c>
      <c r="AY49" s="455">
        <f>(1/AW$52)*IF(AW$11&lt;$M$49,$Q$49,$Q$50)*AW49</f>
        <v>1575.5500000000002</v>
      </c>
      <c r="AZ49" s="377">
        <v>0.05</v>
      </c>
      <c r="BA49" s="212">
        <f>(AZ$12*AZ49)-(BA$53*AZ49)</f>
        <v>9.2000000000000011</v>
      </c>
      <c r="BB49" s="455">
        <f>(1/AZ$52)*IF(AZ$11&lt;$M$49,$Q$49,$Q$50)*AZ49</f>
        <v>1575.5500000000002</v>
      </c>
      <c r="BC49" s="285">
        <f t="shared" si="48"/>
        <v>18608.749999999996</v>
      </c>
    </row>
    <row r="50" spans="1:55" ht="15" thickBot="1" x14ac:dyDescent="0.35">
      <c r="A50" s="572"/>
      <c r="B50" s="63" t="s">
        <v>29</v>
      </c>
      <c r="C50" s="217" t="s">
        <v>58</v>
      </c>
      <c r="D50" s="171"/>
      <c r="E50" s="364"/>
      <c r="F50" s="182" t="s">
        <v>50</v>
      </c>
      <c r="G50" s="5">
        <v>44197</v>
      </c>
      <c r="H50" s="5">
        <v>44926</v>
      </c>
      <c r="I50" s="222"/>
      <c r="J50" s="222"/>
      <c r="K50" s="371"/>
      <c r="L50" s="110">
        <v>44409</v>
      </c>
      <c r="M50" s="10">
        <v>44561</v>
      </c>
      <c r="N50" s="376" t="s">
        <v>15</v>
      </c>
      <c r="O50" s="22">
        <f>2551+1276+21684</f>
        <v>25511</v>
      </c>
      <c r="P50" s="22">
        <f>600+300+5100</f>
        <v>6000</v>
      </c>
      <c r="Q50" s="137">
        <f>P50+O50</f>
        <v>31511</v>
      </c>
      <c r="R50" s="39" t="s">
        <v>29</v>
      </c>
      <c r="S50" s="452">
        <v>0.85</v>
      </c>
      <c r="T50" s="453">
        <f>(S$12*S50)-(T$53*S50)</f>
        <v>142.79999999999998</v>
      </c>
      <c r="U50" s="21">
        <f>(1/S$52)*IF(S$11&lt;$M$49,$Q$49,$Q$50)*S50</f>
        <v>26061</v>
      </c>
      <c r="V50" s="378">
        <v>0.85</v>
      </c>
      <c r="W50" s="453">
        <f>(V$12*V50)-(W$53*V50)</f>
        <v>136</v>
      </c>
      <c r="X50" s="21">
        <f>(1/V$52)*IF(V$11&lt;$M$49,$Q$49,$Q$50)*V50</f>
        <v>26061</v>
      </c>
      <c r="Y50" s="378">
        <v>0.85</v>
      </c>
      <c r="Z50" s="453">
        <f>(Y$12*Y50)-(Z$53*Y50)</f>
        <v>156.4</v>
      </c>
      <c r="AA50" s="21">
        <f>(1/Y$52)*IF(Y$11&lt;$M$49,$Q$49,$Q$50)*Y50</f>
        <v>26061</v>
      </c>
      <c r="AB50" s="378">
        <v>0.85</v>
      </c>
      <c r="AC50" s="453">
        <f>(AB$12*AB50)-(AC$53*AB50)</f>
        <v>136</v>
      </c>
      <c r="AD50" s="21">
        <f>(1/AB$52)*IF(AB$11&lt;$M$49,$Q$49,$Q$50)*AB50</f>
        <v>26061</v>
      </c>
      <c r="AE50" s="378">
        <v>0.85</v>
      </c>
      <c r="AF50" s="453">
        <f>(AE$12*AE50)-(AF$53*AE50)</f>
        <v>142.79999999999998</v>
      </c>
      <c r="AG50" s="21">
        <f>(1/AE$52)*IF(AE$11&lt;$M$49,$Q$49,$Q$50)*AE50</f>
        <v>26061</v>
      </c>
      <c r="AH50" s="378">
        <v>0.85</v>
      </c>
      <c r="AI50" s="453">
        <f>(AH$12*AH50)-(AI$53*AH50)</f>
        <v>142.79999999999998</v>
      </c>
      <c r="AJ50" s="21">
        <f>(1/AH$52)*IF(AH$11&lt;$M$49,$Q$49,$Q$50)*AH50</f>
        <v>26061</v>
      </c>
      <c r="AK50" s="378">
        <v>0.85</v>
      </c>
      <c r="AL50" s="453">
        <f>(AK$12*AK50)-(AL$53*AK50)</f>
        <v>129.19999999999999</v>
      </c>
      <c r="AM50" s="21">
        <f>(1/AK$52)*IF(AK$11&lt;$M$49,$Q$49,$Q$50)*AK50</f>
        <v>26061</v>
      </c>
      <c r="AN50" s="378">
        <v>0.85</v>
      </c>
      <c r="AO50" s="453">
        <f>(AN$12*AN50)-(AO$53*AN50)</f>
        <v>115.6</v>
      </c>
      <c r="AP50" s="456">
        <f>(1/AN$52)*IF(AN$11&lt;$M$49,$Q$49,$Q$50)*AN50</f>
        <v>26784.35</v>
      </c>
      <c r="AQ50" s="378">
        <v>0.85</v>
      </c>
      <c r="AR50" s="453">
        <f>(AQ$12*AQ50)-(AR$53*AQ50)</f>
        <v>122.39999999999999</v>
      </c>
      <c r="AS50" s="456">
        <f>(1/AQ$52)*IF(AQ$11&lt;$M$49,$Q$49,$Q$50)*AQ50</f>
        <v>26784.35</v>
      </c>
      <c r="AT50" s="378">
        <v>0.85</v>
      </c>
      <c r="AU50" s="453">
        <f>(AT$12*AT50)-(AU$53*AT50)</f>
        <v>142.79999999999998</v>
      </c>
      <c r="AV50" s="456">
        <f>(1/AT$52)*IF(AT$11&lt;$M$49,$Q$49,$Q$50)*AT50</f>
        <v>26784.35</v>
      </c>
      <c r="AW50" s="378">
        <v>0.85</v>
      </c>
      <c r="AX50" s="453">
        <f>(AW$12*AW50)-(AX$53*AW50)</f>
        <v>149.6</v>
      </c>
      <c r="AY50" s="456">
        <f>(1/AW$52)*IF(AW$11&lt;$M$49,$Q$49,$Q$50)*AW50</f>
        <v>26784.35</v>
      </c>
      <c r="AZ50" s="378">
        <v>0.85</v>
      </c>
      <c r="BA50" s="453">
        <f>(AZ$12*AZ50)-(BA$53*AZ50)</f>
        <v>156.4</v>
      </c>
      <c r="BB50" s="456">
        <f>(1/AZ$52)*IF(AZ$11&lt;$M$49,$Q$49,$Q$50)*AZ50</f>
        <v>26784.35</v>
      </c>
      <c r="BC50" s="285">
        <f t="shared" si="48"/>
        <v>316348.74999999994</v>
      </c>
    </row>
    <row r="51" spans="1:55" ht="15" thickBot="1" x14ac:dyDescent="0.35">
      <c r="A51" s="572"/>
      <c r="B51" s="63" t="s">
        <v>30</v>
      </c>
      <c r="C51" s="217" t="s">
        <v>58</v>
      </c>
      <c r="D51" s="171"/>
      <c r="E51" s="364"/>
      <c r="F51" s="185" t="s">
        <v>50</v>
      </c>
      <c r="G51" s="10">
        <v>44197</v>
      </c>
      <c r="H51" s="5">
        <v>44834</v>
      </c>
      <c r="I51" s="222"/>
      <c r="J51" s="222"/>
      <c r="K51" s="371"/>
      <c r="L51" s="20"/>
      <c r="M51" s="1"/>
      <c r="N51" s="1"/>
      <c r="O51" s="22"/>
      <c r="P51" s="22"/>
      <c r="Q51" s="126"/>
      <c r="R51" s="39" t="s">
        <v>30</v>
      </c>
      <c r="S51" s="378">
        <v>0.1</v>
      </c>
      <c r="T51" s="214">
        <f>(S$12*S51)-(T$53*S51)</f>
        <v>16.8</v>
      </c>
      <c r="U51" s="21">
        <f>(1/S$52)*IF(S$11&lt;$M$49,$Q$49,$Q$50)*S51</f>
        <v>3066</v>
      </c>
      <c r="V51" s="378">
        <v>0.1</v>
      </c>
      <c r="W51" s="214">
        <f>(V$12*V51)-(W$53*V51)</f>
        <v>16</v>
      </c>
      <c r="X51" s="21">
        <f>(1/V$52)*IF(V$11&lt;$M$49,$Q$49,$Q$50)*V51</f>
        <v>3066</v>
      </c>
      <c r="Y51" s="378">
        <v>0.1</v>
      </c>
      <c r="Z51" s="214">
        <f>(Y$12*Y51)-(Z$53*Y51)</f>
        <v>18.400000000000002</v>
      </c>
      <c r="AA51" s="21">
        <f>(1/Y$52)*IF(Y$11&lt;$M$49,$Q$49,$Q$50)*Y51</f>
        <v>3066</v>
      </c>
      <c r="AB51" s="378">
        <v>0.1</v>
      </c>
      <c r="AC51" s="214">
        <f>(AB$12*AB51)-(AC$53*AB51)</f>
        <v>16</v>
      </c>
      <c r="AD51" s="21">
        <f>(1/AB$52)*IF(AB$11&lt;$M$49,$Q$49,$Q$50)*AB51</f>
        <v>3066</v>
      </c>
      <c r="AE51" s="378">
        <v>0.1</v>
      </c>
      <c r="AF51" s="214">
        <f>(AE$12*AE51)-(AF$53*AE51)</f>
        <v>16.8</v>
      </c>
      <c r="AG51" s="21">
        <f>(1/AE$52)*IF(AE$11&lt;$M$49,$Q$49,$Q$50)*AE51</f>
        <v>3066</v>
      </c>
      <c r="AH51" s="378">
        <v>0.1</v>
      </c>
      <c r="AI51" s="214">
        <f>(AH$12*AH51)-(AI$53*AH51)</f>
        <v>16.8</v>
      </c>
      <c r="AJ51" s="21">
        <f>(1/AH$52)*IF(AH$11&lt;$M$49,$Q$49,$Q$50)*AH51</f>
        <v>3066</v>
      </c>
      <c r="AK51" s="378">
        <v>0.1</v>
      </c>
      <c r="AL51" s="214">
        <f>(AK$12*AK51)-(AL$53*AK51)</f>
        <v>15.200000000000001</v>
      </c>
      <c r="AM51" s="21">
        <f>(1/AK$52)*IF(AK$11&lt;$M$49,$Q$49,$Q$50)*AK51</f>
        <v>3066</v>
      </c>
      <c r="AN51" s="378">
        <v>0.1</v>
      </c>
      <c r="AO51" s="214">
        <f>(AN$12*AN51)-(AO$53*AN51)</f>
        <v>13.600000000000001</v>
      </c>
      <c r="AP51" s="456">
        <f>(1/AN$52)*IF(AN$11&lt;$M$49,$Q$49,$Q$50)*AN51</f>
        <v>3151.1000000000004</v>
      </c>
      <c r="AQ51" s="378">
        <v>0.1</v>
      </c>
      <c r="AR51" s="214">
        <f>(AQ$12*AQ51)-(AR$53*AQ51)</f>
        <v>14.400000000000002</v>
      </c>
      <c r="AS51" s="456">
        <f>(1/AQ$52)*IF(AQ$11&lt;$M$49,$Q$49,$Q$50)*AQ51</f>
        <v>3151.1000000000004</v>
      </c>
      <c r="AT51" s="378">
        <v>0.1</v>
      </c>
      <c r="AU51" s="214">
        <f>(AT$12*AT51)-(AU$53*AT51)</f>
        <v>16.8</v>
      </c>
      <c r="AV51" s="456">
        <f>(1/AT$52)*IF(AT$11&lt;$M$49,$Q$49,$Q$50)*AT51</f>
        <v>3151.1000000000004</v>
      </c>
      <c r="AW51" s="378">
        <v>0.1</v>
      </c>
      <c r="AX51" s="214">
        <f>(AW$12*AW51)-(AX$53*AW51)</f>
        <v>17.600000000000001</v>
      </c>
      <c r="AY51" s="456">
        <f>(1/AW$52)*IF(AW$11&lt;$M$49,$Q$49,$Q$50)*AW51</f>
        <v>3151.1000000000004</v>
      </c>
      <c r="AZ51" s="378">
        <v>0.1</v>
      </c>
      <c r="BA51" s="214">
        <f>(AZ$12*AZ51)-(BA$53*AZ51)</f>
        <v>18.400000000000002</v>
      </c>
      <c r="BB51" s="456">
        <f>(1/AZ$52)*IF(AZ$11&lt;$M$49,$Q$49,$Q$50)*AZ51</f>
        <v>3151.1000000000004</v>
      </c>
      <c r="BC51" s="285">
        <f t="shared" si="48"/>
        <v>37217.499999999993</v>
      </c>
    </row>
    <row r="52" spans="1:55" ht="15" thickBot="1" x14ac:dyDescent="0.35">
      <c r="A52" s="572"/>
      <c r="B52" s="63" t="s">
        <v>36</v>
      </c>
      <c r="C52" s="217"/>
      <c r="D52" s="171"/>
      <c r="E52" s="364"/>
      <c r="F52" s="182"/>
      <c r="G52" s="365"/>
      <c r="H52" s="365"/>
      <c r="I52" s="446"/>
      <c r="J52" s="446"/>
      <c r="K52" s="371"/>
      <c r="L52" s="20"/>
      <c r="M52" s="1"/>
      <c r="N52" s="1"/>
      <c r="O52" s="22"/>
      <c r="P52" s="22"/>
      <c r="Q52" s="126"/>
      <c r="R52" s="39" t="s">
        <v>36</v>
      </c>
      <c r="S52" s="274">
        <f>SUM(S48:S51)</f>
        <v>1</v>
      </c>
      <c r="T52" s="77">
        <f>SUM(T49:T51)</f>
        <v>168</v>
      </c>
      <c r="U52" s="28">
        <f>SUM(U48:U51)</f>
        <v>30660</v>
      </c>
      <c r="V52" s="274">
        <f>SUM(V48:V51)</f>
        <v>1</v>
      </c>
      <c r="W52" s="77">
        <f>SUM(W49:W51)</f>
        <v>160</v>
      </c>
      <c r="X52" s="28">
        <f>SUM(X48:X51)</f>
        <v>30660</v>
      </c>
      <c r="Y52" s="274">
        <f t="shared" ref="Y52" si="97">SUM(Y48:Y51)</f>
        <v>1</v>
      </c>
      <c r="Z52" s="77">
        <f t="shared" ref="Z52" si="98">SUM(Z49:Z51)</f>
        <v>184</v>
      </c>
      <c r="AA52" s="28">
        <f t="shared" ref="AA52:AB52" si="99">SUM(AA48:AA51)</f>
        <v>30660</v>
      </c>
      <c r="AB52" s="274">
        <f t="shared" si="99"/>
        <v>1</v>
      </c>
      <c r="AC52" s="77">
        <f t="shared" ref="AC52" si="100">SUM(AC49:AC51)</f>
        <v>160</v>
      </c>
      <c r="AD52" s="28">
        <f t="shared" ref="AD52:AE52" si="101">SUM(AD48:AD51)</f>
        <v>30660</v>
      </c>
      <c r="AE52" s="274">
        <f t="shared" si="101"/>
        <v>1</v>
      </c>
      <c r="AF52" s="77">
        <f t="shared" ref="AF52" si="102">SUM(AF49:AF51)</f>
        <v>168</v>
      </c>
      <c r="AG52" s="28">
        <f t="shared" ref="AG52:AH52" si="103">SUM(AG48:AG51)</f>
        <v>30660</v>
      </c>
      <c r="AH52" s="274">
        <f t="shared" si="103"/>
        <v>1</v>
      </c>
      <c r="AI52" s="77">
        <f t="shared" ref="AI52" si="104">SUM(AI49:AI51)</f>
        <v>168</v>
      </c>
      <c r="AJ52" s="28">
        <f t="shared" ref="AJ52:AK52" si="105">SUM(AJ48:AJ51)</f>
        <v>30660</v>
      </c>
      <c r="AK52" s="274">
        <f t="shared" si="105"/>
        <v>1</v>
      </c>
      <c r="AL52" s="77">
        <f t="shared" ref="AL52" si="106">SUM(AL49:AL51)</f>
        <v>151.99999999999997</v>
      </c>
      <c r="AM52" s="28">
        <f t="shared" ref="AM52:AN52" si="107">SUM(AM48:AM51)</f>
        <v>30660</v>
      </c>
      <c r="AN52" s="274">
        <f t="shared" si="107"/>
        <v>1</v>
      </c>
      <c r="AO52" s="77">
        <f t="shared" ref="AO52" si="108">SUM(AO49:AO51)</f>
        <v>136</v>
      </c>
      <c r="AP52" s="28">
        <f t="shared" ref="AP52:AQ52" si="109">SUM(AP48:AP51)</f>
        <v>31511</v>
      </c>
      <c r="AQ52" s="274">
        <f t="shared" si="109"/>
        <v>1</v>
      </c>
      <c r="AR52" s="77">
        <f t="shared" ref="AR52" si="110">SUM(AR49:AR51)</f>
        <v>144</v>
      </c>
      <c r="AS52" s="28">
        <f t="shared" ref="AS52:AT52" si="111">SUM(AS48:AS51)</f>
        <v>31511</v>
      </c>
      <c r="AT52" s="274">
        <f t="shared" si="111"/>
        <v>1</v>
      </c>
      <c r="AU52" s="77">
        <f t="shared" ref="AU52" si="112">SUM(AU49:AU51)</f>
        <v>168</v>
      </c>
      <c r="AV52" s="28">
        <f t="shared" ref="AV52:AW52" si="113">SUM(AV48:AV51)</f>
        <v>31511</v>
      </c>
      <c r="AW52" s="274">
        <f t="shared" si="113"/>
        <v>1</v>
      </c>
      <c r="AX52" s="77">
        <f t="shared" ref="AX52" si="114">SUM(AX49:AX51)</f>
        <v>176</v>
      </c>
      <c r="AY52" s="28">
        <f t="shared" ref="AY52:AZ52" si="115">SUM(AY48:AY51)</f>
        <v>31511</v>
      </c>
      <c r="AZ52" s="274">
        <f t="shared" si="115"/>
        <v>1</v>
      </c>
      <c r="BA52" s="77">
        <f t="shared" ref="BA52" si="116">SUM(BA49:BA51)</f>
        <v>184</v>
      </c>
      <c r="BB52" s="28">
        <f t="shared" ref="BB52" si="117">SUM(BB48:BB51)</f>
        <v>31511</v>
      </c>
      <c r="BC52" s="285">
        <f t="shared" si="48"/>
        <v>372175</v>
      </c>
    </row>
    <row r="53" spans="1:55" ht="15" thickBot="1" x14ac:dyDescent="0.35">
      <c r="A53" s="573"/>
      <c r="B53" s="339" t="s">
        <v>27</v>
      </c>
      <c r="C53" s="244"/>
      <c r="D53" s="173"/>
      <c r="E53" s="368"/>
      <c r="F53" s="184"/>
      <c r="G53" s="369"/>
      <c r="H53" s="369"/>
      <c r="I53" s="447"/>
      <c r="J53" s="447"/>
      <c r="K53" s="372"/>
      <c r="L53" s="29"/>
      <c r="M53" s="7"/>
      <c r="N53" s="7"/>
      <c r="O53" s="108"/>
      <c r="P53" s="108"/>
      <c r="Q53" s="127"/>
      <c r="R53" s="342" t="s">
        <v>27</v>
      </c>
      <c r="S53" s="25"/>
      <c r="T53" s="78">
        <f>S53*8*S52</f>
        <v>0</v>
      </c>
      <c r="U53" s="13"/>
      <c r="V53" s="25"/>
      <c r="W53" s="78">
        <f>V53*8*V52</f>
        <v>0</v>
      </c>
      <c r="X53" s="13"/>
      <c r="Y53" s="25"/>
      <c r="Z53" s="78">
        <f t="shared" ref="Z53" si="118">Y53*8*Y52</f>
        <v>0</v>
      </c>
      <c r="AA53" s="13"/>
      <c r="AB53" s="25">
        <v>2</v>
      </c>
      <c r="AC53" s="78">
        <f t="shared" ref="AC53" si="119">AB53*8*AB52</f>
        <v>16</v>
      </c>
      <c r="AD53" s="13"/>
      <c r="AE53" s="25"/>
      <c r="AF53" s="78">
        <f t="shared" ref="AF53" si="120">AE53*8*AE52</f>
        <v>0</v>
      </c>
      <c r="AG53" s="13"/>
      <c r="AH53" s="25">
        <v>1</v>
      </c>
      <c r="AI53" s="78">
        <f t="shared" ref="AI53" si="121">AH53*8*AH52</f>
        <v>8</v>
      </c>
      <c r="AJ53" s="13"/>
      <c r="AK53" s="25">
        <v>3</v>
      </c>
      <c r="AL53" s="78">
        <f t="shared" ref="AL53" si="122">AK53*8*AK52</f>
        <v>24</v>
      </c>
      <c r="AM53" s="13"/>
      <c r="AN53" s="25">
        <v>5</v>
      </c>
      <c r="AO53" s="78">
        <f t="shared" ref="AO53" si="123">AN53*8*AN52</f>
        <v>40</v>
      </c>
      <c r="AP53" s="13"/>
      <c r="AQ53" s="25">
        <v>4</v>
      </c>
      <c r="AR53" s="78">
        <f t="shared" ref="AR53" si="124">AQ53*8*AQ52</f>
        <v>32</v>
      </c>
      <c r="AS53" s="13"/>
      <c r="AT53" s="25"/>
      <c r="AU53" s="78">
        <f t="shared" ref="AU53" si="125">AT53*8*AT52</f>
        <v>0</v>
      </c>
      <c r="AV53" s="13"/>
      <c r="AW53" s="25"/>
      <c r="AX53" s="78">
        <f t="shared" ref="AX53" si="126">AW53*8*AW52</f>
        <v>0</v>
      </c>
      <c r="AY53" s="13"/>
      <c r="AZ53" s="25"/>
      <c r="BA53" s="78">
        <f t="shared" ref="BA53" si="127">AZ53*8*AZ52</f>
        <v>0</v>
      </c>
      <c r="BB53" s="13"/>
      <c r="BC53" s="344">
        <f>25-(S53+V53+Y53+AB53+AE53+AH53+AK53+AN53+AQ53+AT53+AW53+AZ53)</f>
        <v>10</v>
      </c>
    </row>
    <row r="54" spans="1:55" ht="15" thickBot="1" x14ac:dyDescent="0.35">
      <c r="A54" s="572" t="s">
        <v>68</v>
      </c>
      <c r="B54" s="166" t="s">
        <v>7</v>
      </c>
      <c r="C54" s="196" t="s">
        <v>58</v>
      </c>
      <c r="D54" s="174">
        <v>1</v>
      </c>
      <c r="E54" s="9" t="s">
        <v>1</v>
      </c>
      <c r="F54" s="186" t="s">
        <v>50</v>
      </c>
      <c r="G54" s="10">
        <v>43983</v>
      </c>
      <c r="H54" s="225"/>
      <c r="I54" s="225"/>
      <c r="J54" s="225"/>
      <c r="K54" s="17"/>
      <c r="L54" s="375">
        <v>44197</v>
      </c>
      <c r="M54" s="10">
        <v>44561</v>
      </c>
      <c r="N54" s="112" t="s">
        <v>16</v>
      </c>
      <c r="O54" s="98">
        <f>13205+1321+11885</f>
        <v>26411</v>
      </c>
      <c r="P54" s="98">
        <v>24000</v>
      </c>
      <c r="Q54" s="137">
        <f>P54+O54</f>
        <v>50411</v>
      </c>
      <c r="R54" s="62" t="s">
        <v>7</v>
      </c>
      <c r="S54" s="26">
        <v>0.05</v>
      </c>
      <c r="T54" s="214">
        <f>(S$12*S54)-(T$60*S54)</f>
        <v>8.4</v>
      </c>
      <c r="U54" s="460">
        <f>(1/S$59)*IF(S$11&lt;$M$54,$Q$54,$Q$55)*S54</f>
        <v>2520.5500000000002</v>
      </c>
      <c r="V54" s="118">
        <v>0.05</v>
      </c>
      <c r="W54" s="212">
        <f>(V$12*V54)-(W$60*V54)</f>
        <v>8</v>
      </c>
      <c r="X54" s="455">
        <f>(1/V$59)*IF(V$11&lt;$M$54,$Q$54,$Q$55)*V54</f>
        <v>2520.5500000000002</v>
      </c>
      <c r="Y54" s="118">
        <v>0.05</v>
      </c>
      <c r="Z54" s="212">
        <f>(Y$12*Y54)-(Z$60*Y54)</f>
        <v>9.2000000000000011</v>
      </c>
      <c r="AA54" s="455">
        <f>(1/Y$59)*IF(Y$11&lt;$M$54,$Q$54,$Q$55)*Y54</f>
        <v>2520.5500000000002</v>
      </c>
      <c r="AB54" s="118">
        <v>0.05</v>
      </c>
      <c r="AC54" s="212">
        <f>(AB$12*AB54)-(AC$60*AB54)</f>
        <v>8.8000000000000007</v>
      </c>
      <c r="AD54" s="455">
        <f>(1/AB$59)*IF(AB$11&lt;$M$54,$Q$54,$Q$55)*AB54</f>
        <v>2520.5500000000002</v>
      </c>
      <c r="AE54" s="118">
        <v>0.05</v>
      </c>
      <c r="AF54" s="212">
        <f>(AE$12*AE54)-(AF$60*AE54)</f>
        <v>8</v>
      </c>
      <c r="AG54" s="455">
        <f>(1/AE$59)*IF(AE$11&lt;$M$54,$Q$54,$Q$55)*AE54</f>
        <v>2520.5500000000002</v>
      </c>
      <c r="AH54" s="118">
        <v>0.05</v>
      </c>
      <c r="AI54" s="212">
        <f>(AH$12*AH54)-(AI$60*AH54)</f>
        <v>6.8000000000000007</v>
      </c>
      <c r="AJ54" s="455">
        <f>(1/AH$59)*IF(AH$11&lt;$M$54,$Q$54,$Q$55)*AH54</f>
        <v>2520.5500000000002</v>
      </c>
      <c r="AK54" s="118">
        <v>0.05</v>
      </c>
      <c r="AL54" s="212">
        <f>(AK$12*AK54)-(AL$60*AK54)</f>
        <v>8.8000000000000007</v>
      </c>
      <c r="AM54" s="455">
        <f>(1/AK$59)*IF(AK$11&lt;$M$54,$Q$54,$Q$55)*AK54</f>
        <v>2520.5500000000002</v>
      </c>
      <c r="AN54" s="118">
        <v>0.05</v>
      </c>
      <c r="AO54" s="212">
        <f>(AN$12*AN54)-(AO$60*AN54)</f>
        <v>8.4</v>
      </c>
      <c r="AP54" s="455">
        <f>(1/AN$59)*IF(AN$11&lt;$M$54,$Q$54,$Q$55)*AN54</f>
        <v>2520.5500000000002</v>
      </c>
      <c r="AQ54" s="118">
        <v>0.05</v>
      </c>
      <c r="AR54" s="212">
        <f>(AQ$12*AQ54)-(AR$60*AQ54)</f>
        <v>7.2000000000000011</v>
      </c>
      <c r="AS54" s="455">
        <f>(1/AQ$59)*IF(AQ$11&lt;$M$54,$Q$54,$Q$55)*AQ54</f>
        <v>2520.5500000000002</v>
      </c>
      <c r="AT54" s="118">
        <v>0.05</v>
      </c>
      <c r="AU54" s="212">
        <f>(AT$12*AT54)-(AU$60*AT54)</f>
        <v>8.4</v>
      </c>
      <c r="AV54" s="455">
        <f>(1/AT$59)*IF(AT$11&lt;$M$54,$Q$54,$Q$55)*AT54</f>
        <v>2520.5500000000002</v>
      </c>
      <c r="AW54" s="118">
        <v>0.05</v>
      </c>
      <c r="AX54" s="212">
        <f>(AW$12*AW54)-(AX$60*AW54)</f>
        <v>8.8000000000000007</v>
      </c>
      <c r="AY54" s="455">
        <f>(1/AW$59)*IF(AW$11&lt;$M$54,$Q$54,$Q$55)*AW54</f>
        <v>2520.5500000000002</v>
      </c>
      <c r="AZ54" s="118">
        <v>0.05</v>
      </c>
      <c r="BA54" s="212">
        <f>(AZ$12*AZ54)-(BA$60*AZ54)</f>
        <v>9.2000000000000011</v>
      </c>
      <c r="BB54" s="455">
        <f>(1/AZ$59)*IF(AZ$11&lt;$M$54,$Q$54,$Q$55)*AZ54</f>
        <v>2520.5500000000002</v>
      </c>
      <c r="BC54" s="285">
        <f t="shared" si="48"/>
        <v>30246.599999999995</v>
      </c>
    </row>
    <row r="55" spans="1:55" ht="15" thickBot="1" x14ac:dyDescent="0.35">
      <c r="A55" s="572"/>
      <c r="B55" s="63" t="s">
        <v>6</v>
      </c>
      <c r="C55" s="217" t="s">
        <v>58</v>
      </c>
      <c r="D55" s="171"/>
      <c r="E55" s="4"/>
      <c r="F55" s="193" t="s">
        <v>50</v>
      </c>
      <c r="G55" s="10">
        <v>43831</v>
      </c>
      <c r="H55" s="225">
        <v>45230</v>
      </c>
      <c r="I55" s="225"/>
      <c r="J55" s="225"/>
      <c r="K55" s="18"/>
      <c r="L55" s="20"/>
      <c r="M55" s="22"/>
      <c r="N55" s="107"/>
      <c r="O55" s="22"/>
      <c r="P55" s="22"/>
      <c r="Q55" s="23"/>
      <c r="R55" s="63" t="s">
        <v>6</v>
      </c>
      <c r="S55" s="24">
        <v>0.45</v>
      </c>
      <c r="T55" s="117">
        <f>(S$12*S55)-(T$60*S55)</f>
        <v>75.600000000000009</v>
      </c>
      <c r="U55" s="456">
        <f>(1/S$59)*IF(S$11&lt;$M$54,$Q$54,$Q$55)*S55</f>
        <v>22684.95</v>
      </c>
      <c r="V55" s="24">
        <v>0.45</v>
      </c>
      <c r="W55" s="117">
        <f>(V$12*V55)-(W$60*V55)</f>
        <v>72</v>
      </c>
      <c r="X55" s="456">
        <f>(1/V$59)*IF(V$11&lt;$M$54,$Q$54,$Q$55)*V55</f>
        <v>22684.95</v>
      </c>
      <c r="Y55" s="24">
        <v>0.45</v>
      </c>
      <c r="Z55" s="117">
        <f>(Y$12*Y55)-(Z$60*Y55)</f>
        <v>82.8</v>
      </c>
      <c r="AA55" s="456">
        <f>(1/Y$59)*IF(Y$11&lt;$M$54,$Q$54,$Q$55)*Y55</f>
        <v>22684.95</v>
      </c>
      <c r="AB55" s="24">
        <v>0.45</v>
      </c>
      <c r="AC55" s="117">
        <f>(AB$12*AB55)-(AC$60*AB55)</f>
        <v>79.2</v>
      </c>
      <c r="AD55" s="456">
        <f>(1/AB$59)*IF(AB$11&lt;$M$54,$Q$54,$Q$55)*AB55</f>
        <v>22684.95</v>
      </c>
      <c r="AE55" s="24">
        <v>0.45</v>
      </c>
      <c r="AF55" s="117">
        <f>(AE$12*AE55)-(AF$60*AE55)</f>
        <v>72.000000000000014</v>
      </c>
      <c r="AG55" s="456">
        <f>(1/AE$59)*IF(AE$11&lt;$M$54,$Q$54,$Q$55)*AE55</f>
        <v>22684.95</v>
      </c>
      <c r="AH55" s="24">
        <v>0.45</v>
      </c>
      <c r="AI55" s="117">
        <f>(AH$12*AH55)-(AI$60*AH55)</f>
        <v>61.2</v>
      </c>
      <c r="AJ55" s="456">
        <f>(1/AH$59)*IF(AH$11&lt;$M$54,$Q$54,$Q$55)*AH55</f>
        <v>22684.95</v>
      </c>
      <c r="AK55" s="24">
        <v>0.45</v>
      </c>
      <c r="AL55" s="117">
        <f>(AK$12*AK55)-(AL$60*AK55)</f>
        <v>79.2</v>
      </c>
      <c r="AM55" s="456">
        <f>(1/AK$59)*IF(AK$11&lt;$M$54,$Q$54,$Q$55)*AK55</f>
        <v>22684.95</v>
      </c>
      <c r="AN55" s="24">
        <v>0.45</v>
      </c>
      <c r="AO55" s="117">
        <f>(AN$12*AN55)-(AO$60*AN55)</f>
        <v>75.600000000000009</v>
      </c>
      <c r="AP55" s="456">
        <f>(1/AN$59)*IF(AN$11&lt;$M$54,$Q$54,$Q$55)*AN55</f>
        <v>22684.95</v>
      </c>
      <c r="AQ55" s="24">
        <v>0.45</v>
      </c>
      <c r="AR55" s="117">
        <f>(AQ$12*AQ55)-(AR$60*AQ55)</f>
        <v>64.8</v>
      </c>
      <c r="AS55" s="456">
        <f>(1/AQ$59)*IF(AQ$11&lt;$M$54,$Q$54,$Q$55)*AQ55</f>
        <v>22684.95</v>
      </c>
      <c r="AT55" s="24">
        <v>0.45</v>
      </c>
      <c r="AU55" s="117">
        <f>(AT$12*AT55)-(AU$60*AT55)</f>
        <v>75.600000000000009</v>
      </c>
      <c r="AV55" s="456">
        <f>(1/AT$59)*IF(AT$11&lt;$M$54,$Q$54,$Q$55)*AT55</f>
        <v>22684.95</v>
      </c>
      <c r="AW55" s="450">
        <v>0.1</v>
      </c>
      <c r="AX55" s="117">
        <f>(AW$12*AW55)-(AX$60*AW55)</f>
        <v>17.600000000000001</v>
      </c>
      <c r="AY55" s="456">
        <f>(1/AW$59)*IF(AW$11&lt;$M$54,$Q$54,$Q$55)*AW55</f>
        <v>5041.1000000000004</v>
      </c>
      <c r="AZ55" s="475">
        <v>0.1</v>
      </c>
      <c r="BA55" s="117">
        <f>(AZ$12*AZ55)-(BA$60*AZ55)</f>
        <v>18.400000000000002</v>
      </c>
      <c r="BB55" s="456">
        <f>(1/AZ$59)*IF(AZ$11&lt;$M$54,$Q$54,$Q$55)*AZ55</f>
        <v>5041.1000000000004</v>
      </c>
      <c r="BC55" s="285">
        <f t="shared" si="48"/>
        <v>236931.70000000007</v>
      </c>
    </row>
    <row r="56" spans="1:55" ht="15" thickBot="1" x14ac:dyDescent="0.35">
      <c r="A56" s="572"/>
      <c r="B56" s="63" t="s">
        <v>9</v>
      </c>
      <c r="C56" s="217" t="s">
        <v>58</v>
      </c>
      <c r="D56" s="171"/>
      <c r="E56" s="4"/>
      <c r="F56" s="193" t="s">
        <v>50</v>
      </c>
      <c r="G56" s="10">
        <v>43831</v>
      </c>
      <c r="H56" s="222">
        <v>44742</v>
      </c>
      <c r="I56" s="222"/>
      <c r="J56" s="222"/>
      <c r="K56" s="18"/>
      <c r="L56" s="20"/>
      <c r="M56" s="22"/>
      <c r="N56" s="107"/>
      <c r="O56" s="22"/>
      <c r="P56" s="22"/>
      <c r="Q56" s="23"/>
      <c r="R56" s="63" t="s">
        <v>9</v>
      </c>
      <c r="S56" s="450">
        <v>0.1</v>
      </c>
      <c r="T56" s="117">
        <f>(S$12*S56)-(T$60*S56)</f>
        <v>16.8</v>
      </c>
      <c r="U56" s="456">
        <f>(1/S$59)*IF(S$11&lt;$M$54,$Q$54,$Q$55)*S56</f>
        <v>5041.1000000000004</v>
      </c>
      <c r="V56" s="24">
        <v>0.1</v>
      </c>
      <c r="W56" s="117">
        <f>(V$12*V56)-(W$60*V56)</f>
        <v>16</v>
      </c>
      <c r="X56" s="456">
        <f>(1/V$59)*IF(V$11&lt;$M$54,$Q$54,$Q$55)*V56</f>
        <v>5041.1000000000004</v>
      </c>
      <c r="Y56" s="24">
        <v>0.1</v>
      </c>
      <c r="Z56" s="117">
        <f>(Y$12*Y56)-(Z$60*Y56)</f>
        <v>18.400000000000002</v>
      </c>
      <c r="AA56" s="456">
        <f>(1/Y$59)*IF(Y$11&lt;$M$54,$Q$54,$Q$55)*Y56</f>
        <v>5041.1000000000004</v>
      </c>
      <c r="AB56" s="24">
        <v>0.1</v>
      </c>
      <c r="AC56" s="117">
        <f>(AB$12*AB56)-(AC$60*AB56)</f>
        <v>17.600000000000001</v>
      </c>
      <c r="AD56" s="456">
        <f>(1/AB$59)*IF(AB$11&lt;$M$54,$Q$54,$Q$55)*AB56</f>
        <v>5041.1000000000004</v>
      </c>
      <c r="AE56" s="24">
        <v>0.1</v>
      </c>
      <c r="AF56" s="117">
        <f>(AE$12*AE56)-(AF$60*AE56)</f>
        <v>16</v>
      </c>
      <c r="AG56" s="456">
        <f>(1/AE$59)*IF(AE$11&lt;$M$54,$Q$54,$Q$55)*AE56</f>
        <v>5041.1000000000004</v>
      </c>
      <c r="AH56" s="24">
        <v>0.1</v>
      </c>
      <c r="AI56" s="117">
        <f>(AH$12*AH56)-(AI$60*AH56)</f>
        <v>13.600000000000001</v>
      </c>
      <c r="AJ56" s="456">
        <f>(1/AH$59)*IF(AH$11&lt;$M$54,$Q$54,$Q$55)*AH56</f>
        <v>5041.1000000000004</v>
      </c>
      <c r="AK56" s="24">
        <v>0.1</v>
      </c>
      <c r="AL56" s="117">
        <f>(AK$12*AK56)-(AL$60*AK56)</f>
        <v>17.600000000000001</v>
      </c>
      <c r="AM56" s="456">
        <f>(1/AK$59)*IF(AK$11&lt;$M$54,$Q$54,$Q$55)*AK56</f>
        <v>5041.1000000000004</v>
      </c>
      <c r="AN56" s="24">
        <v>0.1</v>
      </c>
      <c r="AO56" s="117">
        <f>(AN$12*AN56)-(AO$60*AN56)</f>
        <v>16.8</v>
      </c>
      <c r="AP56" s="456">
        <f>(1/AN$59)*IF(AN$11&lt;$M$54,$Q$54,$Q$55)*AN56</f>
        <v>5041.1000000000004</v>
      </c>
      <c r="AQ56" s="24">
        <v>0.1</v>
      </c>
      <c r="AR56" s="117">
        <f>(AQ$12*AQ56)-(AR$60*AQ56)</f>
        <v>14.400000000000002</v>
      </c>
      <c r="AS56" s="456">
        <f>(1/AQ$59)*IF(AQ$11&lt;$M$54,$Q$54,$Q$55)*AQ56</f>
        <v>5041.1000000000004</v>
      </c>
      <c r="AT56" s="24">
        <v>0.1</v>
      </c>
      <c r="AU56" s="117">
        <f>(AT$12*AT56)-(AU$60*AT56)</f>
        <v>16.8</v>
      </c>
      <c r="AV56" s="456">
        <f>(1/AT$59)*IF(AT$11&lt;$M$54,$Q$54,$Q$55)*AT56</f>
        <v>5041.1000000000004</v>
      </c>
      <c r="AW56" s="24">
        <v>0.1</v>
      </c>
      <c r="AX56" s="117">
        <f>(AW$12*AW56)-(AX$60*AW56)</f>
        <v>17.600000000000001</v>
      </c>
      <c r="AY56" s="456">
        <f>(1/AW$59)*IF(AW$11&lt;$M$54,$Q$54,$Q$55)*AW56</f>
        <v>5041.1000000000004</v>
      </c>
      <c r="AZ56" s="24">
        <v>0.1</v>
      </c>
      <c r="BA56" s="117">
        <f>(AZ$12*AZ56)-(BA$60*AZ56)</f>
        <v>18.400000000000002</v>
      </c>
      <c r="BB56" s="456">
        <f>(1/AZ$59)*IF(AZ$11&lt;$M$54,$Q$54,$Q$55)*AZ56</f>
        <v>5041.1000000000004</v>
      </c>
      <c r="BC56" s="285">
        <f t="shared" si="48"/>
        <v>60493.19999999999</v>
      </c>
    </row>
    <row r="57" spans="1:55" ht="15" thickBot="1" x14ac:dyDescent="0.35">
      <c r="A57" s="572"/>
      <c r="B57" s="63" t="s">
        <v>32</v>
      </c>
      <c r="C57" s="217" t="s">
        <v>58</v>
      </c>
      <c r="D57" s="171"/>
      <c r="E57" s="4"/>
      <c r="F57" s="193" t="s">
        <v>50</v>
      </c>
      <c r="G57" s="10">
        <v>43831</v>
      </c>
      <c r="H57" s="225">
        <v>44926</v>
      </c>
      <c r="I57" s="5"/>
      <c r="J57" s="5"/>
      <c r="K57" s="18"/>
      <c r="L57" s="20"/>
      <c r="M57" s="22"/>
      <c r="N57" s="107"/>
      <c r="O57" s="22"/>
      <c r="P57" s="22"/>
      <c r="Q57" s="23"/>
      <c r="R57" s="63" t="s">
        <v>32</v>
      </c>
      <c r="S57" s="24">
        <v>0.1</v>
      </c>
      <c r="T57" s="117">
        <f>(S$12*S57)-(T$60*S57)</f>
        <v>16.8</v>
      </c>
      <c r="U57" s="456">
        <f>(1/S$59)*IF(S$11&lt;$M$54,$Q$54,$Q$55)*S57</f>
        <v>5041.1000000000004</v>
      </c>
      <c r="V57" s="24">
        <v>0.1</v>
      </c>
      <c r="W57" s="117">
        <f>(V$12*V57)-(W$60*V57)</f>
        <v>16</v>
      </c>
      <c r="X57" s="456">
        <f>(1/V$59)*IF(V$11&lt;$M$54,$Q$54,$Q$55)*V57</f>
        <v>5041.1000000000004</v>
      </c>
      <c r="Y57" s="24">
        <v>0.1</v>
      </c>
      <c r="Z57" s="117">
        <f>(Y$12*Y57)-(Z$60*Y57)</f>
        <v>18.400000000000002</v>
      </c>
      <c r="AA57" s="456">
        <f>(1/Y$59)*IF(Y$11&lt;$M$54,$Q$54,$Q$55)*Y57</f>
        <v>5041.1000000000004</v>
      </c>
      <c r="AB57" s="24">
        <v>0.1</v>
      </c>
      <c r="AC57" s="117">
        <f>(AB$12*AB57)-(AC$60*AB57)</f>
        <v>17.600000000000001</v>
      </c>
      <c r="AD57" s="456">
        <f>(1/AB$59)*IF(AB$11&lt;$M$54,$Q$54,$Q$55)*AB57</f>
        <v>5041.1000000000004</v>
      </c>
      <c r="AE57" s="24">
        <v>0.1</v>
      </c>
      <c r="AF57" s="117">
        <f>(AE$12*AE57)-(AF$60*AE57)</f>
        <v>16</v>
      </c>
      <c r="AG57" s="456">
        <f>(1/AE$59)*IF(AE$11&lt;$M$54,$Q$54,$Q$55)*AE57</f>
        <v>5041.1000000000004</v>
      </c>
      <c r="AH57" s="24">
        <v>0.1</v>
      </c>
      <c r="AI57" s="117">
        <f>(AH$12*AH57)-(AI$60*AH57)</f>
        <v>13.600000000000001</v>
      </c>
      <c r="AJ57" s="456">
        <f>(1/AH$59)*IF(AH$11&lt;$M$54,$Q$54,$Q$55)*AH57</f>
        <v>5041.1000000000004</v>
      </c>
      <c r="AK57" s="24">
        <v>0.1</v>
      </c>
      <c r="AL57" s="117">
        <f>(AK$12*AK57)-(AL$60*AK57)</f>
        <v>17.600000000000001</v>
      </c>
      <c r="AM57" s="456">
        <f>(1/AK$59)*IF(AK$11&lt;$M$54,$Q$54,$Q$55)*AK57</f>
        <v>5041.1000000000004</v>
      </c>
      <c r="AN57" s="24">
        <v>0.1</v>
      </c>
      <c r="AO57" s="117">
        <f>(AN$12*AN57)-(AO$60*AN57)</f>
        <v>16.8</v>
      </c>
      <c r="AP57" s="456">
        <f>(1/AN$59)*IF(AN$11&lt;$M$54,$Q$54,$Q$55)*AN57</f>
        <v>5041.1000000000004</v>
      </c>
      <c r="AQ57" s="24">
        <v>0.1</v>
      </c>
      <c r="AR57" s="117">
        <f>(AQ$12*AQ57)-(AR$60*AQ57)</f>
        <v>14.400000000000002</v>
      </c>
      <c r="AS57" s="456">
        <f>(1/AQ$59)*IF(AQ$11&lt;$M$54,$Q$54,$Q$55)*AQ57</f>
        <v>5041.1000000000004</v>
      </c>
      <c r="AT57" s="24">
        <v>0.1</v>
      </c>
      <c r="AU57" s="117">
        <f>(AT$12*AT57)-(AU$60*AT57)</f>
        <v>16.8</v>
      </c>
      <c r="AV57" s="456">
        <f>(1/AT$59)*IF(AT$11&lt;$M$54,$Q$54,$Q$55)*AT57</f>
        <v>5041.1000000000004</v>
      </c>
      <c r="AW57" s="24">
        <v>0.1</v>
      </c>
      <c r="AX57" s="117">
        <f>(AW$12*AW57)-(AX$60*AW57)</f>
        <v>17.600000000000001</v>
      </c>
      <c r="AY57" s="456">
        <f>(1/AW$59)*IF(AW$11&lt;$M$54,$Q$54,$Q$55)*AW57</f>
        <v>5041.1000000000004</v>
      </c>
      <c r="AZ57" s="24">
        <v>0.1</v>
      </c>
      <c r="BA57" s="117">
        <f>(AZ$12*AZ57)-(BA$60*AZ57)</f>
        <v>18.400000000000002</v>
      </c>
      <c r="BB57" s="456">
        <f>(1/AZ$59)*IF(AZ$11&lt;$M$54,$Q$54,$Q$55)*AZ57</f>
        <v>5041.1000000000004</v>
      </c>
      <c r="BC57" s="285">
        <f t="shared" si="48"/>
        <v>60493.19999999999</v>
      </c>
    </row>
    <row r="58" spans="1:55" ht="15" thickBot="1" x14ac:dyDescent="0.35">
      <c r="A58" s="572"/>
      <c r="B58" s="63" t="s">
        <v>30</v>
      </c>
      <c r="C58" s="217" t="s">
        <v>58</v>
      </c>
      <c r="D58" s="171"/>
      <c r="E58" s="4"/>
      <c r="F58" s="193" t="s">
        <v>50</v>
      </c>
      <c r="G58" s="5">
        <v>43831</v>
      </c>
      <c r="H58" s="168">
        <v>44834</v>
      </c>
      <c r="I58" s="5"/>
      <c r="J58" s="5"/>
      <c r="K58" s="18"/>
      <c r="L58" s="20"/>
      <c r="M58" s="22"/>
      <c r="N58" s="109"/>
      <c r="O58" s="22"/>
      <c r="P58" s="22"/>
      <c r="Q58" s="23"/>
      <c r="R58" s="63" t="s">
        <v>30</v>
      </c>
      <c r="S58" s="312">
        <v>0.3</v>
      </c>
      <c r="T58" s="117">
        <f>(S$12*S58)-(T$60*S58)</f>
        <v>50.4</v>
      </c>
      <c r="U58" s="456">
        <f>(1/S$59)*IF(S$11&lt;$M$54,$Q$54,$Q$55)*S58</f>
        <v>15123.3</v>
      </c>
      <c r="V58" s="312">
        <v>0.3</v>
      </c>
      <c r="W58" s="117">
        <f>(V$12*V58)-(W$60*V58)</f>
        <v>48</v>
      </c>
      <c r="X58" s="456">
        <f>(1/V$59)*IF(V$11&lt;$M$54,$Q$54,$Q$55)*V58</f>
        <v>15123.3</v>
      </c>
      <c r="Y58" s="312">
        <v>0.3</v>
      </c>
      <c r="Z58" s="117">
        <f>(Y$12*Y58)-(Z$60*Y58)</f>
        <v>55.199999999999996</v>
      </c>
      <c r="AA58" s="456">
        <f>(1/Y$59)*IF(Y$11&lt;$M$54,$Q$54,$Q$55)*Y58</f>
        <v>15123.3</v>
      </c>
      <c r="AB58" s="312">
        <v>0.3</v>
      </c>
      <c r="AC58" s="117">
        <f>(AB$12*AB58)-(AC$60*AB58)</f>
        <v>52.8</v>
      </c>
      <c r="AD58" s="456">
        <f>(1/AB$59)*IF(AB$11&lt;$M$54,$Q$54,$Q$55)*AB58</f>
        <v>15123.3</v>
      </c>
      <c r="AE58" s="312">
        <v>0.3</v>
      </c>
      <c r="AF58" s="117">
        <f>(AE$12*AE58)-(AF$60*AE58)</f>
        <v>48</v>
      </c>
      <c r="AG58" s="456">
        <f>(1/AE$59)*IF(AE$11&lt;$M$54,$Q$54,$Q$55)*AE58</f>
        <v>15123.3</v>
      </c>
      <c r="AH58" s="312">
        <v>0.3</v>
      </c>
      <c r="AI58" s="117">
        <f>(AH$12*AH58)-(AI$60*AH58)</f>
        <v>40.799999999999997</v>
      </c>
      <c r="AJ58" s="456">
        <f>(1/AH$59)*IF(AH$11&lt;$M$54,$Q$54,$Q$55)*AH58</f>
        <v>15123.3</v>
      </c>
      <c r="AK58" s="312">
        <v>0.3</v>
      </c>
      <c r="AL58" s="117">
        <f>(AK$12*AK58)-(AL$60*AK58)</f>
        <v>52.8</v>
      </c>
      <c r="AM58" s="456">
        <f>(1/AK$59)*IF(AK$11&lt;$M$54,$Q$54,$Q$55)*AK58</f>
        <v>15123.3</v>
      </c>
      <c r="AN58" s="312">
        <v>0.3</v>
      </c>
      <c r="AO58" s="117">
        <f>(AN$12*AN58)-(AO$60*AN58)</f>
        <v>50.4</v>
      </c>
      <c r="AP58" s="456">
        <f>(1/AN$59)*IF(AN$11&lt;$M$54,$Q$54,$Q$55)*AN58</f>
        <v>15123.3</v>
      </c>
      <c r="AQ58" s="312">
        <v>0.3</v>
      </c>
      <c r="AR58" s="117">
        <f>(AQ$12*AQ58)-(AR$60*AQ58)</f>
        <v>43.199999999999996</v>
      </c>
      <c r="AS58" s="456">
        <f>(1/AQ$59)*IF(AQ$11&lt;$M$54,$Q$54,$Q$55)*AQ58</f>
        <v>15123.3</v>
      </c>
      <c r="AT58" s="312">
        <v>0.3</v>
      </c>
      <c r="AU58" s="117">
        <f>(AT$12*AT58)-(AU$60*AT58)</f>
        <v>50.4</v>
      </c>
      <c r="AV58" s="456">
        <f>(1/AT$59)*IF(AT$11&lt;$M$54,$Q$54,$Q$55)*AT58</f>
        <v>15123.3</v>
      </c>
      <c r="AW58" s="474">
        <v>0.65</v>
      </c>
      <c r="AX58" s="117">
        <f>(AW$12*AW58)-(AX$60*AW58)</f>
        <v>114.4</v>
      </c>
      <c r="AY58" s="456">
        <f>(1/AW$59)*IF(AW$11&lt;$M$54,$Q$54,$Q$55)*AW58</f>
        <v>32767.15</v>
      </c>
      <c r="AZ58" s="476">
        <v>0.65</v>
      </c>
      <c r="BA58" s="117">
        <f>(AZ$12*AZ58)-(BA$60*AZ58)</f>
        <v>119.60000000000001</v>
      </c>
      <c r="BB58" s="456">
        <f>(1/AZ$59)*IF(AZ$11&lt;$M$54,$Q$54,$Q$55)*AZ58</f>
        <v>32767.15</v>
      </c>
      <c r="BC58" s="285">
        <f t="shared" si="48"/>
        <v>216767.3</v>
      </c>
    </row>
    <row r="59" spans="1:55" ht="15" thickBot="1" x14ac:dyDescent="0.35">
      <c r="A59" s="572"/>
      <c r="B59" s="63" t="s">
        <v>36</v>
      </c>
      <c r="C59" s="197"/>
      <c r="D59" s="172"/>
      <c r="E59" s="69"/>
      <c r="F59" s="192"/>
      <c r="G59" s="84"/>
      <c r="H59" s="223"/>
      <c r="I59" s="223"/>
      <c r="J59" s="223"/>
      <c r="K59" s="85"/>
      <c r="L59" s="97"/>
      <c r="M59" s="98"/>
      <c r="N59" s="112"/>
      <c r="O59" s="98"/>
      <c r="P59" s="98"/>
      <c r="Q59" s="137"/>
      <c r="R59" s="63" t="s">
        <v>36</v>
      </c>
      <c r="S59" s="277">
        <f>SUM(S54:S58)</f>
        <v>1</v>
      </c>
      <c r="T59" s="79">
        <f t="shared" ref="T59:V59" si="128">SUM(T54:T58)</f>
        <v>168</v>
      </c>
      <c r="U59" s="13">
        <f t="shared" si="128"/>
        <v>50411</v>
      </c>
      <c r="V59" s="277">
        <f t="shared" si="128"/>
        <v>1</v>
      </c>
      <c r="W59" s="79">
        <f t="shared" ref="W59:BB59" si="129">SUM(W54:W58)</f>
        <v>160</v>
      </c>
      <c r="X59" s="13">
        <f t="shared" si="129"/>
        <v>50411</v>
      </c>
      <c r="Y59" s="277">
        <f t="shared" si="129"/>
        <v>1</v>
      </c>
      <c r="Z59" s="79">
        <f t="shared" si="129"/>
        <v>184</v>
      </c>
      <c r="AA59" s="13">
        <f t="shared" si="129"/>
        <v>50411</v>
      </c>
      <c r="AB59" s="277">
        <f t="shared" si="129"/>
        <v>1</v>
      </c>
      <c r="AC59" s="79">
        <f t="shared" si="129"/>
        <v>176</v>
      </c>
      <c r="AD59" s="13">
        <f t="shared" si="129"/>
        <v>50411</v>
      </c>
      <c r="AE59" s="277">
        <f t="shared" si="129"/>
        <v>1</v>
      </c>
      <c r="AF59" s="79">
        <f t="shared" si="129"/>
        <v>160</v>
      </c>
      <c r="AG59" s="13">
        <f t="shared" si="129"/>
        <v>50411</v>
      </c>
      <c r="AH59" s="277">
        <f t="shared" si="129"/>
        <v>1</v>
      </c>
      <c r="AI59" s="79">
        <f t="shared" si="129"/>
        <v>136</v>
      </c>
      <c r="AJ59" s="13">
        <f t="shared" si="129"/>
        <v>50411</v>
      </c>
      <c r="AK59" s="277">
        <f t="shared" si="129"/>
        <v>1</v>
      </c>
      <c r="AL59" s="79">
        <f t="shared" si="129"/>
        <v>176</v>
      </c>
      <c r="AM59" s="13">
        <f t="shared" si="129"/>
        <v>50411</v>
      </c>
      <c r="AN59" s="277">
        <f t="shared" si="129"/>
        <v>1</v>
      </c>
      <c r="AO59" s="79">
        <f t="shared" si="129"/>
        <v>168</v>
      </c>
      <c r="AP59" s="13">
        <f t="shared" si="129"/>
        <v>50411</v>
      </c>
      <c r="AQ59" s="277">
        <f t="shared" si="129"/>
        <v>1</v>
      </c>
      <c r="AR59" s="79">
        <f t="shared" si="129"/>
        <v>144</v>
      </c>
      <c r="AS59" s="13">
        <f t="shared" si="129"/>
        <v>50411</v>
      </c>
      <c r="AT59" s="277">
        <f t="shared" si="129"/>
        <v>1</v>
      </c>
      <c r="AU59" s="79">
        <f t="shared" si="129"/>
        <v>168</v>
      </c>
      <c r="AV59" s="13">
        <f t="shared" si="129"/>
        <v>50411</v>
      </c>
      <c r="AW59" s="277">
        <f t="shared" si="129"/>
        <v>1</v>
      </c>
      <c r="AX59" s="79">
        <f t="shared" si="129"/>
        <v>176</v>
      </c>
      <c r="AY59" s="13">
        <f t="shared" si="129"/>
        <v>50411</v>
      </c>
      <c r="AZ59" s="277">
        <f t="shared" si="129"/>
        <v>1</v>
      </c>
      <c r="BA59" s="79">
        <f t="shared" si="129"/>
        <v>184</v>
      </c>
      <c r="BB59" s="13">
        <f t="shared" si="129"/>
        <v>50411</v>
      </c>
      <c r="BC59" s="285">
        <f t="shared" si="48"/>
        <v>604932</v>
      </c>
    </row>
    <row r="60" spans="1:55" ht="15" thickBot="1" x14ac:dyDescent="0.35">
      <c r="A60" s="573"/>
      <c r="B60" s="340" t="s">
        <v>27</v>
      </c>
      <c r="C60" s="157"/>
      <c r="D60" s="173"/>
      <c r="E60" s="6"/>
      <c r="F60" s="175"/>
      <c r="G60" s="8"/>
      <c r="H60" s="224"/>
      <c r="I60" s="224"/>
      <c r="J60" s="224"/>
      <c r="K60" s="16"/>
      <c r="L60" s="29"/>
      <c r="M60" s="108"/>
      <c r="N60" s="111"/>
      <c r="O60" s="108"/>
      <c r="P60" s="108"/>
      <c r="Q60" s="99"/>
      <c r="R60" s="340" t="s">
        <v>27</v>
      </c>
      <c r="S60" s="50"/>
      <c r="T60" s="51">
        <f>S60*8*S59</f>
        <v>0</v>
      </c>
      <c r="U60" s="52"/>
      <c r="V60" s="251"/>
      <c r="W60" s="51">
        <f>V60*8*V59</f>
        <v>0</v>
      </c>
      <c r="X60" s="52"/>
      <c r="Y60" s="50"/>
      <c r="Z60" s="51">
        <f>Y60*8*Y59</f>
        <v>0</v>
      </c>
      <c r="AA60" s="52"/>
      <c r="AB60" s="50"/>
      <c r="AC60" s="51">
        <f>AB60*8*AB59</f>
        <v>0</v>
      </c>
      <c r="AD60" s="52"/>
      <c r="AE60" s="50">
        <v>1</v>
      </c>
      <c r="AF60" s="51">
        <f t="shared" ref="AF60" si="130">AE60*8*AE59</f>
        <v>8</v>
      </c>
      <c r="AG60" s="52"/>
      <c r="AH60" s="50">
        <v>5</v>
      </c>
      <c r="AI60" s="51">
        <f t="shared" ref="AI60" si="131">AH60*8*AH59</f>
        <v>40</v>
      </c>
      <c r="AJ60" s="52"/>
      <c r="AK60" s="50"/>
      <c r="AL60" s="51">
        <f t="shared" ref="AL60" si="132">AK60*8*AK59</f>
        <v>0</v>
      </c>
      <c r="AM60" s="52"/>
      <c r="AN60" s="50">
        <v>1</v>
      </c>
      <c r="AO60" s="51">
        <f t="shared" ref="AO60" si="133">AN60*8*AN59</f>
        <v>8</v>
      </c>
      <c r="AP60" s="52"/>
      <c r="AQ60" s="50">
        <v>4</v>
      </c>
      <c r="AR60" s="51">
        <f t="shared" ref="AR60" si="134">AQ60*8*AQ59</f>
        <v>32</v>
      </c>
      <c r="AS60" s="52"/>
      <c r="AT60" s="50"/>
      <c r="AU60" s="51">
        <f t="shared" ref="AU60" si="135">AT60*8*AT59</f>
        <v>0</v>
      </c>
      <c r="AV60" s="52"/>
      <c r="AW60" s="50"/>
      <c r="AX60" s="51">
        <f t="shared" ref="AX60" si="136">AW60*8*AW59</f>
        <v>0</v>
      </c>
      <c r="AY60" s="52"/>
      <c r="AZ60" s="50"/>
      <c r="BA60" s="51">
        <f t="shared" ref="BA60" si="137">AZ60*8*AZ59</f>
        <v>0</v>
      </c>
      <c r="BB60" s="52"/>
      <c r="BC60" s="344">
        <f>(25+'PŘEHLED 2020'!BA44)-(S60+V60+Y60+AB60+AE60+AH60+AK60+AN60+AQ60+AT60+AW60+AZ60)</f>
        <v>24</v>
      </c>
    </row>
    <row r="61" spans="1:55" ht="15" thickBot="1" x14ac:dyDescent="0.35">
      <c r="L61" s="202"/>
      <c r="M61" s="202"/>
      <c r="BC61" s="302"/>
    </row>
    <row r="62" spans="1:55" ht="15" thickBot="1" x14ac:dyDescent="0.35">
      <c r="A62" s="291" t="s">
        <v>173</v>
      </c>
      <c r="B62" s="195" t="s">
        <v>6</v>
      </c>
      <c r="C62" s="198" t="s">
        <v>58</v>
      </c>
      <c r="D62" s="199"/>
      <c r="E62" s="143" t="s">
        <v>97</v>
      </c>
      <c r="F62" s="200" t="s">
        <v>4</v>
      </c>
      <c r="G62" s="323">
        <v>44531</v>
      </c>
      <c r="H62" s="324"/>
      <c r="I62" s="324"/>
      <c r="J62" s="478"/>
      <c r="K62" s="230" t="s">
        <v>12</v>
      </c>
      <c r="L62" s="323">
        <v>44531</v>
      </c>
      <c r="M62" s="326">
        <v>44561</v>
      </c>
      <c r="N62" s="332"/>
      <c r="O62" s="327"/>
      <c r="P62" s="327"/>
      <c r="Q62" s="328">
        <v>5000</v>
      </c>
      <c r="R62" s="245" t="s">
        <v>6</v>
      </c>
      <c r="S62" s="205"/>
      <c r="T62" s="208"/>
      <c r="U62" s="280"/>
      <c r="V62" s="205"/>
      <c r="W62" s="208"/>
      <c r="X62" s="280"/>
      <c r="Y62" s="205"/>
      <c r="Z62" s="208"/>
      <c r="AA62" s="280"/>
      <c r="AB62" s="205"/>
      <c r="AC62" s="208"/>
      <c r="AD62" s="280"/>
      <c r="AE62" s="205"/>
      <c r="AF62" s="208"/>
      <c r="AG62" s="280"/>
      <c r="AH62" s="205"/>
      <c r="AI62" s="208"/>
      <c r="AJ62" s="280"/>
      <c r="AK62" s="205"/>
      <c r="AL62" s="208"/>
      <c r="AM62" s="280"/>
      <c r="AN62" s="205"/>
      <c r="AO62" s="208"/>
      <c r="AP62" s="280"/>
      <c r="AQ62" s="205"/>
      <c r="AR62" s="208"/>
      <c r="AS62" s="280"/>
      <c r="AT62" s="205"/>
      <c r="AU62" s="208"/>
      <c r="AV62" s="280"/>
      <c r="AW62" s="205"/>
      <c r="AX62" s="208"/>
      <c r="AY62" s="280"/>
      <c r="AZ62" s="254">
        <v>500</v>
      </c>
      <c r="BA62" s="255">
        <v>10</v>
      </c>
      <c r="BB62" s="206">
        <f t="shared" ref="BB62" si="138">AZ62*BA62</f>
        <v>5000</v>
      </c>
      <c r="BC62" s="329">
        <f>SUM(U62,X62,AA62,AD62,AG62,AJ62,AM62,AP62,AS62,AV62,AY62,BB62)</f>
        <v>5000</v>
      </c>
    </row>
    <row r="63" spans="1:55" ht="15" thickBot="1" x14ac:dyDescent="0.35">
      <c r="A63" s="291" t="s">
        <v>172</v>
      </c>
      <c r="B63" s="245" t="s">
        <v>6</v>
      </c>
      <c r="C63" s="319" t="s">
        <v>58</v>
      </c>
      <c r="D63" s="320"/>
      <c r="E63" s="321" t="s">
        <v>149</v>
      </c>
      <c r="F63" s="322" t="s">
        <v>4</v>
      </c>
      <c r="G63" s="323">
        <v>44531</v>
      </c>
      <c r="H63" s="324"/>
      <c r="I63" s="324"/>
      <c r="J63" s="478"/>
      <c r="K63" s="310" t="s">
        <v>13</v>
      </c>
      <c r="L63" s="326">
        <v>44531</v>
      </c>
      <c r="M63" s="326">
        <v>44561</v>
      </c>
      <c r="N63" s="321"/>
      <c r="O63" s="327"/>
      <c r="P63" s="327"/>
      <c r="Q63" s="328">
        <v>10000</v>
      </c>
      <c r="R63" s="245" t="s">
        <v>6</v>
      </c>
      <c r="S63" s="205"/>
      <c r="T63" s="208"/>
      <c r="U63" s="280"/>
      <c r="V63" s="205"/>
      <c r="W63" s="208"/>
      <c r="X63" s="280"/>
      <c r="Y63" s="205"/>
      <c r="Z63" s="208"/>
      <c r="AA63" s="280"/>
      <c r="AB63" s="205"/>
      <c r="AC63" s="208"/>
      <c r="AD63" s="280"/>
      <c r="AE63" s="205"/>
      <c r="AF63" s="208"/>
      <c r="AG63" s="280"/>
      <c r="AH63" s="205"/>
      <c r="AI63" s="208"/>
      <c r="AJ63" s="280"/>
      <c r="AK63" s="205"/>
      <c r="AL63" s="208"/>
      <c r="AM63" s="280"/>
      <c r="AN63" s="205"/>
      <c r="AO63" s="208"/>
      <c r="AP63" s="280"/>
      <c r="AQ63" s="205"/>
      <c r="AR63" s="208"/>
      <c r="AS63" s="280"/>
      <c r="AT63" s="205"/>
      <c r="AU63" s="208"/>
      <c r="AV63" s="280"/>
      <c r="AW63" s="205"/>
      <c r="AX63" s="208"/>
      <c r="AY63" s="206"/>
      <c r="AZ63" s="254">
        <v>500</v>
      </c>
      <c r="BA63" s="255">
        <v>20</v>
      </c>
      <c r="BB63" s="206">
        <f t="shared" ref="BB63" si="139">AZ63*BA63</f>
        <v>10000</v>
      </c>
      <c r="BC63" s="329">
        <f>SUM(U63,X63,AA63,AD63,AG63,AJ63,AM63,AP63,AS63,AV63,AY63,BB63)</f>
        <v>10000</v>
      </c>
    </row>
    <row r="64" spans="1:55" ht="15" thickBot="1" x14ac:dyDescent="0.35">
      <c r="A64" s="291" t="s">
        <v>69</v>
      </c>
      <c r="B64" s="245" t="s">
        <v>6</v>
      </c>
      <c r="C64" s="319" t="s">
        <v>58</v>
      </c>
      <c r="D64" s="320"/>
      <c r="E64" s="321" t="s">
        <v>95</v>
      </c>
      <c r="F64" s="322" t="s">
        <v>4</v>
      </c>
      <c r="G64" s="323">
        <v>44044</v>
      </c>
      <c r="H64" s="324"/>
      <c r="I64" s="324"/>
      <c r="J64" s="478">
        <v>0</v>
      </c>
      <c r="K64" s="310" t="s">
        <v>13</v>
      </c>
      <c r="L64" s="325">
        <v>44044</v>
      </c>
      <c r="M64" s="326">
        <v>44561</v>
      </c>
      <c r="N64" s="321"/>
      <c r="O64" s="327"/>
      <c r="P64" s="327"/>
      <c r="Q64" s="328">
        <v>10000</v>
      </c>
      <c r="R64" s="245" t="s">
        <v>6</v>
      </c>
      <c r="S64" s="254">
        <v>500</v>
      </c>
      <c r="T64" s="255">
        <v>20</v>
      </c>
      <c r="U64" s="206">
        <f t="shared" ref="U64:U77" si="140">S64*T64</f>
        <v>10000</v>
      </c>
      <c r="V64" s="254">
        <v>500</v>
      </c>
      <c r="W64" s="255">
        <v>20</v>
      </c>
      <c r="X64" s="206">
        <f t="shared" ref="X64:X77" si="141">V64*W64</f>
        <v>10000</v>
      </c>
      <c r="Y64" s="254">
        <v>500</v>
      </c>
      <c r="Z64" s="255">
        <v>20</v>
      </c>
      <c r="AA64" s="206">
        <f t="shared" ref="AA64:AA76" si="142">Y64*Z64</f>
        <v>10000</v>
      </c>
      <c r="AB64" s="254">
        <v>500</v>
      </c>
      <c r="AC64" s="255">
        <v>20</v>
      </c>
      <c r="AD64" s="206">
        <f t="shared" ref="AD64:AD76" si="143">AB64*AC64</f>
        <v>10000</v>
      </c>
      <c r="AE64" s="254">
        <v>500</v>
      </c>
      <c r="AF64" s="255">
        <v>20</v>
      </c>
      <c r="AG64" s="206">
        <f t="shared" ref="AG64:AG76" si="144">AE64*AF64</f>
        <v>10000</v>
      </c>
      <c r="AH64" s="254">
        <v>500</v>
      </c>
      <c r="AI64" s="255">
        <v>20</v>
      </c>
      <c r="AJ64" s="206">
        <f t="shared" ref="AJ64:AJ76" si="145">AH64*AI64</f>
        <v>10000</v>
      </c>
      <c r="AK64" s="254">
        <v>500</v>
      </c>
      <c r="AL64" s="255">
        <v>20</v>
      </c>
      <c r="AM64" s="206">
        <f t="shared" ref="AM64:AM76" si="146">AK64*AL64</f>
        <v>10000</v>
      </c>
      <c r="AN64" s="254">
        <v>500</v>
      </c>
      <c r="AO64" s="255">
        <v>20</v>
      </c>
      <c r="AP64" s="206">
        <f t="shared" ref="AP64:AP76" si="147">AN64*AO64</f>
        <v>10000</v>
      </c>
      <c r="AQ64" s="254">
        <v>500</v>
      </c>
      <c r="AR64" s="255">
        <v>20</v>
      </c>
      <c r="AS64" s="206">
        <f t="shared" ref="AS64:AS73" si="148">AQ64*AR64</f>
        <v>10000</v>
      </c>
      <c r="AT64" s="254">
        <v>500</v>
      </c>
      <c r="AU64" s="255">
        <v>20</v>
      </c>
      <c r="AV64" s="206">
        <f t="shared" ref="AV64:AV73" si="149">AT64*AU64</f>
        <v>10000</v>
      </c>
      <c r="AW64" s="254">
        <v>500</v>
      </c>
      <c r="AX64" s="255">
        <v>20</v>
      </c>
      <c r="AY64" s="206">
        <f t="shared" ref="AY64:AY73" si="150">AW64*AX64</f>
        <v>10000</v>
      </c>
      <c r="AZ64" s="254">
        <v>500</v>
      </c>
      <c r="BA64" s="255">
        <v>20</v>
      </c>
      <c r="BB64" s="206">
        <f t="shared" ref="BB64:BB73" si="151">AZ64*BA64</f>
        <v>10000</v>
      </c>
      <c r="BC64" s="329">
        <f>SUM(U64,X64,AA64,AD64,AG64,AJ64,AM64,AP64,AS64,AV64,AY64,BB64)</f>
        <v>120000</v>
      </c>
    </row>
    <row r="65" spans="1:55" ht="15" thickBot="1" x14ac:dyDescent="0.35">
      <c r="A65" s="291" t="s">
        <v>168</v>
      </c>
      <c r="B65" s="195" t="s">
        <v>6</v>
      </c>
      <c r="C65" s="198" t="s">
        <v>58</v>
      </c>
      <c r="D65" s="199"/>
      <c r="E65" s="143" t="s">
        <v>97</v>
      </c>
      <c r="F65" s="200" t="s">
        <v>4</v>
      </c>
      <c r="G65" s="323">
        <v>44501</v>
      </c>
      <c r="H65" s="324"/>
      <c r="I65" s="324"/>
      <c r="J65" s="478"/>
      <c r="K65" s="230" t="s">
        <v>12</v>
      </c>
      <c r="L65" s="323">
        <v>44501</v>
      </c>
      <c r="M65" s="326">
        <v>44561</v>
      </c>
      <c r="N65" s="332"/>
      <c r="O65" s="327"/>
      <c r="P65" s="327"/>
      <c r="Q65" s="328">
        <v>5000</v>
      </c>
      <c r="R65" s="245" t="s">
        <v>6</v>
      </c>
      <c r="S65" s="50"/>
      <c r="T65" s="252"/>
      <c r="U65" s="278"/>
      <c r="V65" s="50"/>
      <c r="W65" s="252"/>
      <c r="X65" s="278"/>
      <c r="Y65" s="50"/>
      <c r="Z65" s="252"/>
      <c r="AA65" s="278"/>
      <c r="AB65" s="50"/>
      <c r="AC65" s="252"/>
      <c r="AD65" s="278"/>
      <c r="AE65" s="50"/>
      <c r="AF65" s="252"/>
      <c r="AG65" s="278"/>
      <c r="AH65" s="50"/>
      <c r="AI65" s="252"/>
      <c r="AJ65" s="278"/>
      <c r="AK65" s="50"/>
      <c r="AL65" s="252"/>
      <c r="AM65" s="278"/>
      <c r="AN65" s="50"/>
      <c r="AO65" s="252"/>
      <c r="AP65" s="278"/>
      <c r="AQ65" s="50"/>
      <c r="AR65" s="252"/>
      <c r="AS65" s="278"/>
      <c r="AT65" s="50"/>
      <c r="AU65" s="252"/>
      <c r="AV65" s="278"/>
      <c r="AW65" s="266">
        <v>500</v>
      </c>
      <c r="AX65" s="267">
        <v>10</v>
      </c>
      <c r="AY65" s="48">
        <f t="shared" si="150"/>
        <v>5000</v>
      </c>
      <c r="AZ65" s="266">
        <v>500</v>
      </c>
      <c r="BA65" s="267">
        <v>10</v>
      </c>
      <c r="BB65" s="48">
        <f t="shared" si="151"/>
        <v>5000</v>
      </c>
      <c r="BC65" s="329">
        <f>SUM(U65,X65,AA65,AD65,AG65,AJ65,AM65,AP65,AS65,AV65,AY65,BB65)</f>
        <v>10000</v>
      </c>
    </row>
    <row r="66" spans="1:55" ht="15" thickBot="1" x14ac:dyDescent="0.35">
      <c r="A66" s="194" t="s">
        <v>71</v>
      </c>
      <c r="B66" s="195" t="s">
        <v>6</v>
      </c>
      <c r="C66" s="198" t="s">
        <v>58</v>
      </c>
      <c r="D66" s="199"/>
      <c r="E66" s="143" t="s">
        <v>96</v>
      </c>
      <c r="F66" s="200" t="s">
        <v>4</v>
      </c>
      <c r="G66" s="201">
        <v>44136</v>
      </c>
      <c r="H66" s="229"/>
      <c r="I66" s="229"/>
      <c r="J66" s="316"/>
      <c r="K66" s="230" t="s">
        <v>12</v>
      </c>
      <c r="L66" s="318">
        <v>44136</v>
      </c>
      <c r="M66" s="318">
        <v>44561</v>
      </c>
      <c r="N66" s="317"/>
      <c r="O66" s="144"/>
      <c r="P66" s="144"/>
      <c r="Q66" s="203">
        <v>5000</v>
      </c>
      <c r="R66" s="195" t="s">
        <v>6</v>
      </c>
      <c r="S66" s="254">
        <v>500</v>
      </c>
      <c r="T66" s="255">
        <v>10</v>
      </c>
      <c r="U66" s="280">
        <f t="shared" si="140"/>
        <v>5000</v>
      </c>
      <c r="V66" s="254">
        <v>500</v>
      </c>
      <c r="W66" s="255">
        <v>10</v>
      </c>
      <c r="X66" s="280">
        <f t="shared" si="141"/>
        <v>5000</v>
      </c>
      <c r="Y66" s="254">
        <v>500</v>
      </c>
      <c r="Z66" s="255">
        <v>10</v>
      </c>
      <c r="AA66" s="280">
        <f t="shared" si="142"/>
        <v>5000</v>
      </c>
      <c r="AB66" s="254">
        <v>500</v>
      </c>
      <c r="AC66" s="255">
        <v>10</v>
      </c>
      <c r="AD66" s="280">
        <f t="shared" si="143"/>
        <v>5000</v>
      </c>
      <c r="AE66" s="254">
        <v>500</v>
      </c>
      <c r="AF66" s="255">
        <v>10</v>
      </c>
      <c r="AG66" s="280">
        <f t="shared" si="144"/>
        <v>5000</v>
      </c>
      <c r="AH66" s="254">
        <v>500</v>
      </c>
      <c r="AI66" s="255">
        <v>10</v>
      </c>
      <c r="AJ66" s="280">
        <f t="shared" si="145"/>
        <v>5000</v>
      </c>
      <c r="AK66" s="254">
        <v>500</v>
      </c>
      <c r="AL66" s="255">
        <v>10</v>
      </c>
      <c r="AM66" s="280">
        <f t="shared" si="146"/>
        <v>5000</v>
      </c>
      <c r="AN66" s="254">
        <v>500</v>
      </c>
      <c r="AO66" s="255">
        <v>10</v>
      </c>
      <c r="AP66" s="280">
        <f t="shared" si="147"/>
        <v>5000</v>
      </c>
      <c r="AQ66" s="254">
        <v>500</v>
      </c>
      <c r="AR66" s="255">
        <v>10</v>
      </c>
      <c r="AS66" s="280">
        <f t="shared" si="148"/>
        <v>5000</v>
      </c>
      <c r="AT66" s="254">
        <v>500</v>
      </c>
      <c r="AU66" s="255">
        <v>10</v>
      </c>
      <c r="AV66" s="280">
        <f t="shared" si="149"/>
        <v>5000</v>
      </c>
      <c r="AW66" s="254">
        <v>500</v>
      </c>
      <c r="AX66" s="255">
        <v>10</v>
      </c>
      <c r="AY66" s="280">
        <f t="shared" si="150"/>
        <v>5000</v>
      </c>
      <c r="AZ66" s="254">
        <v>500</v>
      </c>
      <c r="BA66" s="255">
        <v>10</v>
      </c>
      <c r="BB66" s="280">
        <f t="shared" si="151"/>
        <v>5000</v>
      </c>
      <c r="BC66" s="285">
        <f t="shared" si="48"/>
        <v>60000</v>
      </c>
    </row>
    <row r="67" spans="1:55" ht="15" thickBot="1" x14ac:dyDescent="0.35">
      <c r="A67" s="194" t="s">
        <v>72</v>
      </c>
      <c r="B67" s="195" t="s">
        <v>6</v>
      </c>
      <c r="C67" s="198" t="s">
        <v>58</v>
      </c>
      <c r="D67" s="199"/>
      <c r="E67" s="143" t="s">
        <v>97</v>
      </c>
      <c r="F67" s="200" t="s">
        <v>4</v>
      </c>
      <c r="G67" s="201">
        <v>43831</v>
      </c>
      <c r="H67" s="229"/>
      <c r="I67" s="229"/>
      <c r="J67" s="316"/>
      <c r="K67" s="230" t="s">
        <v>12</v>
      </c>
      <c r="L67" s="318">
        <v>43831</v>
      </c>
      <c r="M67" s="318">
        <v>44561</v>
      </c>
      <c r="N67" s="317"/>
      <c r="O67" s="144"/>
      <c r="P67" s="144"/>
      <c r="Q67" s="203">
        <v>10000</v>
      </c>
      <c r="R67" s="204" t="s">
        <v>6</v>
      </c>
      <c r="S67" s="254">
        <v>500</v>
      </c>
      <c r="T67" s="255">
        <v>20</v>
      </c>
      <c r="U67" s="280">
        <f t="shared" si="140"/>
        <v>10000</v>
      </c>
      <c r="V67" s="254">
        <v>500</v>
      </c>
      <c r="W67" s="255">
        <v>20</v>
      </c>
      <c r="X67" s="280">
        <f t="shared" si="141"/>
        <v>10000</v>
      </c>
      <c r="Y67" s="254">
        <v>500</v>
      </c>
      <c r="Z67" s="255">
        <v>20</v>
      </c>
      <c r="AA67" s="280">
        <f t="shared" si="142"/>
        <v>10000</v>
      </c>
      <c r="AB67" s="254">
        <v>500</v>
      </c>
      <c r="AC67" s="255">
        <v>20</v>
      </c>
      <c r="AD67" s="280">
        <f t="shared" si="143"/>
        <v>10000</v>
      </c>
      <c r="AE67" s="254">
        <v>500</v>
      </c>
      <c r="AF67" s="255">
        <v>20</v>
      </c>
      <c r="AG67" s="280">
        <f t="shared" si="144"/>
        <v>10000</v>
      </c>
      <c r="AH67" s="254">
        <v>500</v>
      </c>
      <c r="AI67" s="255">
        <v>20</v>
      </c>
      <c r="AJ67" s="280">
        <f t="shared" si="145"/>
        <v>10000</v>
      </c>
      <c r="AK67" s="254">
        <v>500</v>
      </c>
      <c r="AL67" s="255">
        <v>20</v>
      </c>
      <c r="AM67" s="280">
        <f t="shared" si="146"/>
        <v>10000</v>
      </c>
      <c r="AN67" s="254">
        <v>500</v>
      </c>
      <c r="AO67" s="255">
        <v>20</v>
      </c>
      <c r="AP67" s="280">
        <f t="shared" si="147"/>
        <v>10000</v>
      </c>
      <c r="AQ67" s="254">
        <v>500</v>
      </c>
      <c r="AR67" s="255">
        <v>20</v>
      </c>
      <c r="AS67" s="280">
        <f t="shared" si="148"/>
        <v>10000</v>
      </c>
      <c r="AT67" s="254">
        <v>500</v>
      </c>
      <c r="AU67" s="255">
        <v>20</v>
      </c>
      <c r="AV67" s="280">
        <f t="shared" si="149"/>
        <v>10000</v>
      </c>
      <c r="AW67" s="254">
        <v>500</v>
      </c>
      <c r="AX67" s="255">
        <v>20</v>
      </c>
      <c r="AY67" s="280">
        <f t="shared" si="150"/>
        <v>10000</v>
      </c>
      <c r="AZ67" s="464"/>
      <c r="BA67" s="465"/>
      <c r="BB67" s="466"/>
      <c r="BC67" s="285">
        <f t="shared" si="48"/>
        <v>110000</v>
      </c>
    </row>
    <row r="68" spans="1:55" ht="15" thickBot="1" x14ac:dyDescent="0.35">
      <c r="A68" s="291" t="s">
        <v>167</v>
      </c>
      <c r="B68" s="195" t="s">
        <v>6</v>
      </c>
      <c r="C68" s="198" t="s">
        <v>58</v>
      </c>
      <c r="D68" s="199"/>
      <c r="E68" s="143" t="s">
        <v>149</v>
      </c>
      <c r="F68" s="200" t="s">
        <v>4</v>
      </c>
      <c r="G68" s="323">
        <v>44409</v>
      </c>
      <c r="H68" s="324"/>
      <c r="I68" s="324"/>
      <c r="J68" s="478">
        <v>0</v>
      </c>
      <c r="K68" s="310" t="s">
        <v>13</v>
      </c>
      <c r="L68" s="326">
        <v>44409</v>
      </c>
      <c r="M68" s="326">
        <v>44561</v>
      </c>
      <c r="N68" s="332"/>
      <c r="O68" s="327"/>
      <c r="P68" s="327"/>
      <c r="Q68" s="203"/>
      <c r="R68" s="204" t="s">
        <v>6</v>
      </c>
      <c r="S68" s="50"/>
      <c r="T68" s="252"/>
      <c r="U68" s="278"/>
      <c r="V68" s="50"/>
      <c r="W68" s="252"/>
      <c r="X68" s="278"/>
      <c r="Y68" s="50"/>
      <c r="Z68" s="252"/>
      <c r="AA68" s="278"/>
      <c r="AB68" s="50"/>
      <c r="AC68" s="252"/>
      <c r="AD68" s="278"/>
      <c r="AE68" s="50"/>
      <c r="AF68" s="252"/>
      <c r="AG68" s="278"/>
      <c r="AH68" s="50"/>
      <c r="AI68" s="252"/>
      <c r="AJ68" s="278"/>
      <c r="AK68" s="50"/>
      <c r="AL68" s="252"/>
      <c r="AM68" s="278"/>
      <c r="AN68" s="254">
        <v>250</v>
      </c>
      <c r="AO68" s="463">
        <v>19.5</v>
      </c>
      <c r="AP68" s="280">
        <f t="shared" si="147"/>
        <v>4875</v>
      </c>
      <c r="AQ68" s="464"/>
      <c r="AR68" s="465"/>
      <c r="AS68" s="466"/>
      <c r="AT68" s="464"/>
      <c r="AU68" s="465"/>
      <c r="AV68" s="466"/>
      <c r="AW68" s="464"/>
      <c r="AX68" s="465"/>
      <c r="AY68" s="466"/>
      <c r="AZ68" s="464"/>
      <c r="BA68" s="465"/>
      <c r="BB68" s="466"/>
      <c r="BC68" s="285">
        <f t="shared" si="48"/>
        <v>4875</v>
      </c>
    </row>
    <row r="69" spans="1:55" ht="15" thickBot="1" x14ac:dyDescent="0.35">
      <c r="A69" s="291" t="s">
        <v>73</v>
      </c>
      <c r="B69" s="245" t="s">
        <v>6</v>
      </c>
      <c r="C69" s="319" t="s">
        <v>58</v>
      </c>
      <c r="D69" s="320"/>
      <c r="E69" s="321" t="s">
        <v>105</v>
      </c>
      <c r="F69" s="322" t="s">
        <v>4</v>
      </c>
      <c r="G69" s="323">
        <v>44166</v>
      </c>
      <c r="H69" s="324"/>
      <c r="I69" s="324"/>
      <c r="J69" s="478">
        <v>0</v>
      </c>
      <c r="K69" s="310" t="s">
        <v>13</v>
      </c>
      <c r="L69" s="326">
        <v>44166</v>
      </c>
      <c r="M69" s="326">
        <v>44561</v>
      </c>
      <c r="N69" s="332"/>
      <c r="O69" s="327"/>
      <c r="P69" s="327"/>
      <c r="Q69" s="328">
        <v>5000</v>
      </c>
      <c r="R69" s="195" t="s">
        <v>6</v>
      </c>
      <c r="S69" s="254">
        <v>500</v>
      </c>
      <c r="T69" s="255">
        <v>10</v>
      </c>
      <c r="U69" s="206">
        <f t="shared" si="140"/>
        <v>5000</v>
      </c>
      <c r="V69" s="254">
        <v>500</v>
      </c>
      <c r="W69" s="255">
        <v>10</v>
      </c>
      <c r="X69" s="280">
        <f t="shared" si="141"/>
        <v>5000</v>
      </c>
      <c r="Y69" s="254">
        <v>500</v>
      </c>
      <c r="Z69" s="255">
        <v>10</v>
      </c>
      <c r="AA69" s="280">
        <f t="shared" si="142"/>
        <v>5000</v>
      </c>
      <c r="AB69" s="254">
        <v>500</v>
      </c>
      <c r="AC69" s="255">
        <v>10</v>
      </c>
      <c r="AD69" s="280">
        <f t="shared" si="143"/>
        <v>5000</v>
      </c>
      <c r="AE69" s="254">
        <v>500</v>
      </c>
      <c r="AF69" s="255">
        <v>10</v>
      </c>
      <c r="AG69" s="280">
        <f t="shared" si="144"/>
        <v>5000</v>
      </c>
      <c r="AH69" s="254">
        <v>500</v>
      </c>
      <c r="AI69" s="255">
        <v>10</v>
      </c>
      <c r="AJ69" s="280">
        <f t="shared" si="145"/>
        <v>5000</v>
      </c>
      <c r="AK69" s="254">
        <v>500</v>
      </c>
      <c r="AL69" s="255">
        <v>10</v>
      </c>
      <c r="AM69" s="280">
        <f t="shared" si="146"/>
        <v>5000</v>
      </c>
      <c r="AN69" s="254">
        <v>500</v>
      </c>
      <c r="AO69" s="255">
        <v>10</v>
      </c>
      <c r="AP69" s="280">
        <f t="shared" si="147"/>
        <v>5000</v>
      </c>
      <c r="AQ69" s="254">
        <v>500</v>
      </c>
      <c r="AR69" s="255">
        <v>10</v>
      </c>
      <c r="AS69" s="280">
        <f t="shared" si="148"/>
        <v>5000</v>
      </c>
      <c r="AT69" s="254">
        <v>500</v>
      </c>
      <c r="AU69" s="255">
        <v>10</v>
      </c>
      <c r="AV69" s="280">
        <f t="shared" si="149"/>
        <v>5000</v>
      </c>
      <c r="AW69" s="254">
        <v>500</v>
      </c>
      <c r="AX69" s="255">
        <v>10</v>
      </c>
      <c r="AY69" s="280">
        <f t="shared" si="150"/>
        <v>5000</v>
      </c>
      <c r="AZ69" s="254">
        <v>500</v>
      </c>
      <c r="BA69" s="255">
        <v>10</v>
      </c>
      <c r="BB69" s="280">
        <f t="shared" si="151"/>
        <v>5000</v>
      </c>
      <c r="BC69" s="285">
        <f t="shared" si="48"/>
        <v>60000</v>
      </c>
    </row>
    <row r="70" spans="1:55" ht="15" thickBot="1" x14ac:dyDescent="0.35">
      <c r="A70" s="194" t="s">
        <v>120</v>
      </c>
      <c r="B70" s="195" t="s">
        <v>6</v>
      </c>
      <c r="C70" s="198" t="s">
        <v>58</v>
      </c>
      <c r="D70" s="199"/>
      <c r="E70" s="143" t="s">
        <v>97</v>
      </c>
      <c r="F70" s="200" t="s">
        <v>4</v>
      </c>
      <c r="G70" s="201">
        <v>44197</v>
      </c>
      <c r="H70" s="229"/>
      <c r="I70" s="229"/>
      <c r="J70" s="316">
        <v>1</v>
      </c>
      <c r="K70" s="230" t="s">
        <v>12</v>
      </c>
      <c r="L70" s="318">
        <v>44197</v>
      </c>
      <c r="M70" s="318">
        <v>44561</v>
      </c>
      <c r="N70" s="317"/>
      <c r="O70" s="144"/>
      <c r="P70" s="144"/>
      <c r="Q70" s="203">
        <v>10000</v>
      </c>
      <c r="R70" s="195" t="s">
        <v>6</v>
      </c>
      <c r="S70" s="268">
        <v>500</v>
      </c>
      <c r="T70" s="269">
        <v>20</v>
      </c>
      <c r="U70" s="275">
        <f t="shared" si="140"/>
        <v>10000</v>
      </c>
      <c r="V70" s="268">
        <v>500</v>
      </c>
      <c r="W70" s="269">
        <v>20</v>
      </c>
      <c r="X70" s="275">
        <f t="shared" si="141"/>
        <v>10000</v>
      </c>
      <c r="Y70" s="268">
        <v>500</v>
      </c>
      <c r="Z70" s="269">
        <v>20</v>
      </c>
      <c r="AA70" s="275">
        <f t="shared" si="142"/>
        <v>10000</v>
      </c>
      <c r="AB70" s="268">
        <v>500</v>
      </c>
      <c r="AC70" s="269">
        <v>20</v>
      </c>
      <c r="AD70" s="275">
        <f t="shared" si="143"/>
        <v>10000</v>
      </c>
      <c r="AE70" s="268">
        <v>500</v>
      </c>
      <c r="AF70" s="269">
        <v>20</v>
      </c>
      <c r="AG70" s="275">
        <f t="shared" si="144"/>
        <v>10000</v>
      </c>
      <c r="AH70" s="268">
        <v>500</v>
      </c>
      <c r="AI70" s="269">
        <v>20</v>
      </c>
      <c r="AJ70" s="275">
        <f t="shared" si="145"/>
        <v>10000</v>
      </c>
      <c r="AK70" s="268">
        <v>500</v>
      </c>
      <c r="AL70" s="269">
        <v>20</v>
      </c>
      <c r="AM70" s="275">
        <f t="shared" si="146"/>
        <v>10000</v>
      </c>
      <c r="AN70" s="268">
        <v>500</v>
      </c>
      <c r="AO70" s="269">
        <v>20</v>
      </c>
      <c r="AP70" s="275">
        <f t="shared" si="147"/>
        <v>10000</v>
      </c>
      <c r="AQ70" s="268">
        <v>500</v>
      </c>
      <c r="AR70" s="269">
        <v>20</v>
      </c>
      <c r="AS70" s="275">
        <f t="shared" si="148"/>
        <v>10000</v>
      </c>
      <c r="AT70" s="268">
        <v>500</v>
      </c>
      <c r="AU70" s="269">
        <v>20</v>
      </c>
      <c r="AV70" s="275">
        <f t="shared" si="149"/>
        <v>10000</v>
      </c>
      <c r="AW70" s="268">
        <v>500</v>
      </c>
      <c r="AX70" s="269">
        <v>20</v>
      </c>
      <c r="AY70" s="275">
        <f t="shared" si="150"/>
        <v>10000</v>
      </c>
      <c r="AZ70" s="268">
        <v>500</v>
      </c>
      <c r="BA70" s="269">
        <v>20</v>
      </c>
      <c r="BB70" s="275">
        <f t="shared" si="151"/>
        <v>10000</v>
      </c>
      <c r="BC70" s="348">
        <f t="shared" si="48"/>
        <v>120000</v>
      </c>
    </row>
    <row r="71" spans="1:55" ht="15" thickBot="1" x14ac:dyDescent="0.35">
      <c r="A71" s="194" t="s">
        <v>74</v>
      </c>
      <c r="B71" s="195" t="s">
        <v>6</v>
      </c>
      <c r="C71" s="333" t="s">
        <v>58</v>
      </c>
      <c r="D71" s="199"/>
      <c r="E71" s="143" t="s">
        <v>104</v>
      </c>
      <c r="F71" s="200" t="s">
        <v>4</v>
      </c>
      <c r="G71" s="201">
        <v>44119</v>
      </c>
      <c r="H71" s="229"/>
      <c r="I71" s="229"/>
      <c r="J71" s="316"/>
      <c r="K71" s="230" t="s">
        <v>12</v>
      </c>
      <c r="L71" s="318">
        <v>44119</v>
      </c>
      <c r="M71" s="318">
        <v>44561</v>
      </c>
      <c r="N71" s="317"/>
      <c r="O71" s="144"/>
      <c r="P71" s="144"/>
      <c r="Q71" s="203">
        <v>2700</v>
      </c>
      <c r="R71" s="195" t="s">
        <v>6</v>
      </c>
      <c r="S71" s="254">
        <v>300</v>
      </c>
      <c r="T71" s="255">
        <v>9</v>
      </c>
      <c r="U71" s="280">
        <f t="shared" si="140"/>
        <v>2700</v>
      </c>
      <c r="V71" s="254">
        <v>300</v>
      </c>
      <c r="W71" s="255">
        <v>9</v>
      </c>
      <c r="X71" s="280">
        <f t="shared" si="141"/>
        <v>2700</v>
      </c>
      <c r="Y71" s="254">
        <v>300</v>
      </c>
      <c r="Z71" s="255">
        <v>9</v>
      </c>
      <c r="AA71" s="280">
        <f t="shared" si="142"/>
        <v>2700</v>
      </c>
      <c r="AB71" s="254">
        <v>300</v>
      </c>
      <c r="AC71" s="255">
        <v>9</v>
      </c>
      <c r="AD71" s="280">
        <f t="shared" si="143"/>
        <v>2700</v>
      </c>
      <c r="AE71" s="254">
        <v>300</v>
      </c>
      <c r="AF71" s="255">
        <v>9</v>
      </c>
      <c r="AG71" s="280">
        <f t="shared" si="144"/>
        <v>2700</v>
      </c>
      <c r="AH71" s="254">
        <v>300</v>
      </c>
      <c r="AI71" s="255">
        <v>9</v>
      </c>
      <c r="AJ71" s="280">
        <f t="shared" si="145"/>
        <v>2700</v>
      </c>
      <c r="AK71" s="254">
        <v>300</v>
      </c>
      <c r="AL71" s="255">
        <v>9</v>
      </c>
      <c r="AM71" s="280">
        <f t="shared" si="146"/>
        <v>2700</v>
      </c>
      <c r="AN71" s="254">
        <v>300</v>
      </c>
      <c r="AO71" s="255">
        <v>9</v>
      </c>
      <c r="AP71" s="280">
        <f t="shared" si="147"/>
        <v>2700</v>
      </c>
      <c r="AQ71" s="254">
        <v>300</v>
      </c>
      <c r="AR71" s="255">
        <v>9</v>
      </c>
      <c r="AS71" s="280">
        <f t="shared" si="148"/>
        <v>2700</v>
      </c>
      <c r="AT71" s="254">
        <v>300</v>
      </c>
      <c r="AU71" s="255">
        <v>9</v>
      </c>
      <c r="AV71" s="280">
        <f t="shared" si="149"/>
        <v>2700</v>
      </c>
      <c r="AW71" s="464"/>
      <c r="AX71" s="465"/>
      <c r="AY71" s="466"/>
      <c r="AZ71" s="464"/>
      <c r="BA71" s="465"/>
      <c r="BB71" s="466"/>
      <c r="BC71" s="285">
        <f t="shared" si="48"/>
        <v>27000</v>
      </c>
    </row>
    <row r="72" spans="1:55" ht="15" thickBot="1" x14ac:dyDescent="0.35">
      <c r="A72" s="194" t="s">
        <v>121</v>
      </c>
      <c r="B72" s="195" t="s">
        <v>6</v>
      </c>
      <c r="C72" s="198" t="s">
        <v>58</v>
      </c>
      <c r="D72" s="199"/>
      <c r="E72" s="143" t="s">
        <v>96</v>
      </c>
      <c r="F72" s="200" t="s">
        <v>4</v>
      </c>
      <c r="G72" s="201">
        <v>44197</v>
      </c>
      <c r="H72" s="229"/>
      <c r="I72" s="229"/>
      <c r="J72" s="316">
        <v>1</v>
      </c>
      <c r="K72" s="230" t="s">
        <v>12</v>
      </c>
      <c r="L72" s="318">
        <v>44197</v>
      </c>
      <c r="M72" s="318">
        <v>44561</v>
      </c>
      <c r="N72" s="317"/>
      <c r="O72" s="144"/>
      <c r="P72" s="144"/>
      <c r="Q72" s="203">
        <v>10000</v>
      </c>
      <c r="R72" s="195" t="s">
        <v>6</v>
      </c>
      <c r="S72" s="254">
        <v>500</v>
      </c>
      <c r="T72" s="255">
        <v>20</v>
      </c>
      <c r="U72" s="280">
        <f>S72*T72</f>
        <v>10000</v>
      </c>
      <c r="V72" s="254">
        <v>500</v>
      </c>
      <c r="W72" s="255">
        <v>20</v>
      </c>
      <c r="X72" s="280">
        <f t="shared" si="141"/>
        <v>10000</v>
      </c>
      <c r="Y72" s="254">
        <v>500</v>
      </c>
      <c r="Z72" s="255">
        <v>20</v>
      </c>
      <c r="AA72" s="280">
        <f t="shared" si="142"/>
        <v>10000</v>
      </c>
      <c r="AB72" s="254">
        <v>500</v>
      </c>
      <c r="AC72" s="255">
        <v>20</v>
      </c>
      <c r="AD72" s="280">
        <f t="shared" si="143"/>
        <v>10000</v>
      </c>
      <c r="AE72" s="254">
        <v>500</v>
      </c>
      <c r="AF72" s="255">
        <v>20</v>
      </c>
      <c r="AG72" s="280">
        <f t="shared" si="144"/>
        <v>10000</v>
      </c>
      <c r="AH72" s="254">
        <v>500</v>
      </c>
      <c r="AI72" s="255">
        <v>20</v>
      </c>
      <c r="AJ72" s="280">
        <f t="shared" si="145"/>
        <v>10000</v>
      </c>
      <c r="AK72" s="254">
        <v>500</v>
      </c>
      <c r="AL72" s="255">
        <v>20</v>
      </c>
      <c r="AM72" s="280">
        <f t="shared" si="146"/>
        <v>10000</v>
      </c>
      <c r="AN72" s="254">
        <v>500</v>
      </c>
      <c r="AO72" s="255">
        <v>20</v>
      </c>
      <c r="AP72" s="280">
        <f t="shared" si="147"/>
        <v>10000</v>
      </c>
      <c r="AQ72" s="254">
        <v>500</v>
      </c>
      <c r="AR72" s="255">
        <v>20</v>
      </c>
      <c r="AS72" s="280">
        <f t="shared" si="148"/>
        <v>10000</v>
      </c>
      <c r="AT72" s="254">
        <v>500</v>
      </c>
      <c r="AU72" s="255">
        <v>20</v>
      </c>
      <c r="AV72" s="280">
        <f t="shared" si="149"/>
        <v>10000</v>
      </c>
      <c r="AW72" s="254">
        <v>500</v>
      </c>
      <c r="AX72" s="255">
        <v>20</v>
      </c>
      <c r="AY72" s="280">
        <f t="shared" si="150"/>
        <v>10000</v>
      </c>
      <c r="AZ72" s="254">
        <v>500</v>
      </c>
      <c r="BA72" s="255">
        <v>20</v>
      </c>
      <c r="BB72" s="206">
        <f t="shared" si="151"/>
        <v>10000</v>
      </c>
      <c r="BC72" s="285">
        <f t="shared" si="48"/>
        <v>120000</v>
      </c>
    </row>
    <row r="73" spans="1:55" ht="15" thickBot="1" x14ac:dyDescent="0.35">
      <c r="A73" s="194" t="s">
        <v>147</v>
      </c>
      <c r="B73" s="195" t="s">
        <v>6</v>
      </c>
      <c r="C73" s="198" t="s">
        <v>58</v>
      </c>
      <c r="D73" s="199"/>
      <c r="E73" s="143" t="s">
        <v>98</v>
      </c>
      <c r="F73" s="200" t="s">
        <v>4</v>
      </c>
      <c r="G73" s="201">
        <v>44228</v>
      </c>
      <c r="H73" s="229"/>
      <c r="I73" s="229"/>
      <c r="J73" s="316">
        <v>0</v>
      </c>
      <c r="K73" s="230" t="s">
        <v>13</v>
      </c>
      <c r="L73" s="318">
        <v>44228</v>
      </c>
      <c r="M73" s="318">
        <v>44561</v>
      </c>
      <c r="N73" s="317"/>
      <c r="O73" s="144"/>
      <c r="P73" s="144"/>
      <c r="Q73" s="203">
        <v>5000</v>
      </c>
      <c r="R73" s="195" t="s">
        <v>6</v>
      </c>
      <c r="S73" s="50"/>
      <c r="T73" s="252"/>
      <c r="U73" s="278"/>
      <c r="V73" s="268">
        <v>500</v>
      </c>
      <c r="W73" s="269">
        <v>10</v>
      </c>
      <c r="X73" s="275">
        <f t="shared" ref="X73" si="152">V73*W73</f>
        <v>5000</v>
      </c>
      <c r="Y73" s="268">
        <v>500</v>
      </c>
      <c r="Z73" s="269">
        <v>10</v>
      </c>
      <c r="AA73" s="275">
        <f t="shared" si="142"/>
        <v>5000</v>
      </c>
      <c r="AB73" s="268">
        <v>500</v>
      </c>
      <c r="AC73" s="269">
        <v>10</v>
      </c>
      <c r="AD73" s="275">
        <f t="shared" si="143"/>
        <v>5000</v>
      </c>
      <c r="AE73" s="268">
        <v>500</v>
      </c>
      <c r="AF73" s="269">
        <v>10</v>
      </c>
      <c r="AG73" s="275">
        <f t="shared" si="144"/>
        <v>5000</v>
      </c>
      <c r="AH73" s="268">
        <v>500</v>
      </c>
      <c r="AI73" s="269">
        <v>10</v>
      </c>
      <c r="AJ73" s="275">
        <f t="shared" si="145"/>
        <v>5000</v>
      </c>
      <c r="AK73" s="268">
        <v>500</v>
      </c>
      <c r="AL73" s="269">
        <v>10</v>
      </c>
      <c r="AM73" s="275">
        <f t="shared" si="146"/>
        <v>5000</v>
      </c>
      <c r="AN73" s="268">
        <v>500</v>
      </c>
      <c r="AO73" s="269">
        <v>10</v>
      </c>
      <c r="AP73" s="275">
        <f t="shared" si="147"/>
        <v>5000</v>
      </c>
      <c r="AQ73" s="254">
        <v>500</v>
      </c>
      <c r="AR73" s="255">
        <v>10</v>
      </c>
      <c r="AS73" s="280">
        <f t="shared" si="148"/>
        <v>5000</v>
      </c>
      <c r="AT73" s="254">
        <v>500</v>
      </c>
      <c r="AU73" s="255">
        <v>10</v>
      </c>
      <c r="AV73" s="280">
        <f t="shared" si="149"/>
        <v>5000</v>
      </c>
      <c r="AW73" s="254">
        <v>500</v>
      </c>
      <c r="AX73" s="255">
        <v>10</v>
      </c>
      <c r="AY73" s="280">
        <f t="shared" si="150"/>
        <v>5000</v>
      </c>
      <c r="AZ73" s="254">
        <v>500</v>
      </c>
      <c r="BA73" s="255">
        <v>10</v>
      </c>
      <c r="BB73" s="206">
        <f t="shared" si="151"/>
        <v>5000</v>
      </c>
      <c r="BC73" s="285">
        <f t="shared" ref="BC73" si="153">SUM(U73,X73,AA73,AD73,AG73,AJ73,AM73,AP73,AS73,AV73,AY73,BB73)</f>
        <v>55000</v>
      </c>
    </row>
    <row r="74" spans="1:55" ht="15" thickBot="1" x14ac:dyDescent="0.35">
      <c r="A74" s="194" t="s">
        <v>76</v>
      </c>
      <c r="B74" s="195" t="s">
        <v>6</v>
      </c>
      <c r="C74" s="198" t="s">
        <v>58</v>
      </c>
      <c r="D74" s="199"/>
      <c r="E74" s="143" t="s">
        <v>99</v>
      </c>
      <c r="F74" s="200" t="s">
        <v>4</v>
      </c>
      <c r="G74" s="201">
        <v>43831</v>
      </c>
      <c r="H74" s="229"/>
      <c r="I74" s="229"/>
      <c r="J74" s="316"/>
      <c r="K74" s="230" t="s">
        <v>12</v>
      </c>
      <c r="L74" s="318">
        <v>43831</v>
      </c>
      <c r="M74" s="318">
        <v>44561</v>
      </c>
      <c r="N74" s="317"/>
      <c r="O74" s="144"/>
      <c r="P74" s="144"/>
      <c r="Q74" s="203">
        <v>10000</v>
      </c>
      <c r="R74" s="204" t="s">
        <v>6</v>
      </c>
      <c r="S74" s="254">
        <v>500</v>
      </c>
      <c r="T74" s="255">
        <v>20</v>
      </c>
      <c r="U74" s="280">
        <f t="shared" si="140"/>
        <v>10000</v>
      </c>
      <c r="V74" s="254">
        <v>500</v>
      </c>
      <c r="W74" s="255">
        <v>20</v>
      </c>
      <c r="X74" s="280">
        <f t="shared" si="141"/>
        <v>10000</v>
      </c>
      <c r="Y74" s="254">
        <v>500</v>
      </c>
      <c r="Z74" s="255">
        <v>20</v>
      </c>
      <c r="AA74" s="280">
        <f t="shared" si="142"/>
        <v>10000</v>
      </c>
      <c r="AB74" s="254">
        <v>500</v>
      </c>
      <c r="AC74" s="255">
        <v>20</v>
      </c>
      <c r="AD74" s="280">
        <f t="shared" si="143"/>
        <v>10000</v>
      </c>
      <c r="AE74" s="254">
        <v>500</v>
      </c>
      <c r="AF74" s="255">
        <v>20</v>
      </c>
      <c r="AG74" s="280">
        <f t="shared" si="144"/>
        <v>10000</v>
      </c>
      <c r="AH74" s="254">
        <v>500</v>
      </c>
      <c r="AI74" s="255">
        <v>20</v>
      </c>
      <c r="AJ74" s="280">
        <f t="shared" si="145"/>
        <v>10000</v>
      </c>
      <c r="AK74" s="254">
        <v>500</v>
      </c>
      <c r="AL74" s="255">
        <v>20</v>
      </c>
      <c r="AM74" s="280">
        <f t="shared" si="146"/>
        <v>10000</v>
      </c>
      <c r="AN74" s="254">
        <v>500</v>
      </c>
      <c r="AO74" s="255">
        <v>20</v>
      </c>
      <c r="AP74" s="280">
        <f t="shared" si="147"/>
        <v>10000</v>
      </c>
      <c r="AQ74" s="50"/>
      <c r="AR74" s="252"/>
      <c r="AS74" s="278"/>
      <c r="AT74" s="50"/>
      <c r="AU74" s="252"/>
      <c r="AV74" s="278"/>
      <c r="AW74" s="50"/>
      <c r="AX74" s="252"/>
      <c r="AY74" s="278"/>
      <c r="AZ74" s="50"/>
      <c r="BA74" s="252"/>
      <c r="BB74" s="278"/>
      <c r="BC74" s="285">
        <f t="shared" si="48"/>
        <v>80000</v>
      </c>
    </row>
    <row r="75" spans="1:55" ht="15" thickBot="1" x14ac:dyDescent="0.35">
      <c r="A75" s="194" t="s">
        <v>162</v>
      </c>
      <c r="B75" s="195" t="s">
        <v>6</v>
      </c>
      <c r="C75" s="198" t="s">
        <v>58</v>
      </c>
      <c r="D75" s="199"/>
      <c r="E75" s="143" t="s">
        <v>99</v>
      </c>
      <c r="F75" s="200" t="s">
        <v>4</v>
      </c>
      <c r="G75" s="201">
        <v>44348</v>
      </c>
      <c r="H75" s="229"/>
      <c r="I75" s="229"/>
      <c r="J75" s="316"/>
      <c r="K75" s="230" t="s">
        <v>12</v>
      </c>
      <c r="L75" s="318">
        <v>44348</v>
      </c>
      <c r="M75" s="318">
        <v>44561</v>
      </c>
      <c r="N75" s="317"/>
      <c r="O75" s="144"/>
      <c r="P75" s="144"/>
      <c r="Q75" s="203">
        <v>10000</v>
      </c>
      <c r="R75" s="204" t="s">
        <v>6</v>
      </c>
      <c r="S75" s="50"/>
      <c r="T75" s="252"/>
      <c r="U75" s="278"/>
      <c r="V75" s="50"/>
      <c r="W75" s="252"/>
      <c r="X75" s="278"/>
      <c r="Y75" s="50"/>
      <c r="Z75" s="252"/>
      <c r="AA75" s="278"/>
      <c r="AB75" s="50"/>
      <c r="AC75" s="252"/>
      <c r="AD75" s="278"/>
      <c r="AE75" s="50"/>
      <c r="AF75" s="252"/>
      <c r="AG75" s="278"/>
      <c r="AH75" s="254">
        <v>500</v>
      </c>
      <c r="AI75" s="255">
        <v>20</v>
      </c>
      <c r="AJ75" s="280">
        <f t="shared" ref="AJ75" si="154">AH75*AI75</f>
        <v>10000</v>
      </c>
      <c r="AK75" s="254">
        <v>500</v>
      </c>
      <c r="AL75" s="255">
        <v>20</v>
      </c>
      <c r="AM75" s="280">
        <f t="shared" ref="AM75" si="155">AK75*AL75</f>
        <v>10000</v>
      </c>
      <c r="AN75" s="254">
        <v>500</v>
      </c>
      <c r="AO75" s="255">
        <v>20</v>
      </c>
      <c r="AP75" s="280">
        <f t="shared" ref="AP75" si="156">AN75*AO75</f>
        <v>10000</v>
      </c>
      <c r="AQ75" s="254">
        <v>500</v>
      </c>
      <c r="AR75" s="255">
        <v>20</v>
      </c>
      <c r="AS75" s="280">
        <f t="shared" ref="AS75" si="157">AQ75*AR75</f>
        <v>10000</v>
      </c>
      <c r="AT75" s="254">
        <v>500</v>
      </c>
      <c r="AU75" s="255">
        <v>20</v>
      </c>
      <c r="AV75" s="280">
        <f t="shared" ref="AV75" si="158">AT75*AU75</f>
        <v>10000</v>
      </c>
      <c r="AW75" s="254">
        <v>500</v>
      </c>
      <c r="AX75" s="255">
        <v>20</v>
      </c>
      <c r="AY75" s="280">
        <f t="shared" ref="AY75" si="159">AW75*AX75</f>
        <v>10000</v>
      </c>
      <c r="AZ75" s="254">
        <v>500</v>
      </c>
      <c r="BA75" s="255">
        <v>20</v>
      </c>
      <c r="BB75" s="280">
        <f t="shared" ref="BB75" si="160">AZ75*BA75</f>
        <v>10000</v>
      </c>
      <c r="BC75" s="285">
        <f t="shared" ref="BC75" si="161">SUM(U75,X75,AA75,AD75,AG75,AJ75,AM75,AP75,AS75,AV75,AY75,BB75)</f>
        <v>70000</v>
      </c>
    </row>
    <row r="76" spans="1:55" ht="15" thickBot="1" x14ac:dyDescent="0.35">
      <c r="A76" s="194" t="s">
        <v>148</v>
      </c>
      <c r="B76" s="195" t="s">
        <v>6</v>
      </c>
      <c r="C76" s="198" t="s">
        <v>58</v>
      </c>
      <c r="D76" s="199"/>
      <c r="E76" s="143" t="s">
        <v>149</v>
      </c>
      <c r="F76" s="200" t="s">
        <v>4</v>
      </c>
      <c r="G76" s="201">
        <v>44228</v>
      </c>
      <c r="H76" s="229"/>
      <c r="I76" s="229"/>
      <c r="J76" s="316">
        <v>0</v>
      </c>
      <c r="K76" s="230" t="s">
        <v>13</v>
      </c>
      <c r="L76" s="318">
        <v>44228</v>
      </c>
      <c r="M76" s="318">
        <v>44561</v>
      </c>
      <c r="N76" s="317"/>
      <c r="O76" s="144"/>
      <c r="P76" s="144"/>
      <c r="Q76" s="203">
        <v>10000</v>
      </c>
      <c r="R76" s="204" t="s">
        <v>6</v>
      </c>
      <c r="S76" s="50"/>
      <c r="T76" s="252"/>
      <c r="U76" s="278"/>
      <c r="V76" s="254">
        <v>250</v>
      </c>
      <c r="W76" s="255">
        <v>40</v>
      </c>
      <c r="X76" s="280">
        <f t="shared" ref="X76" si="162">V76*W76</f>
        <v>10000</v>
      </c>
      <c r="Y76" s="254">
        <v>250</v>
      </c>
      <c r="Z76" s="255">
        <v>40</v>
      </c>
      <c r="AA76" s="280">
        <f t="shared" si="142"/>
        <v>10000</v>
      </c>
      <c r="AB76" s="254">
        <v>250</v>
      </c>
      <c r="AC76" s="255">
        <v>40</v>
      </c>
      <c r="AD76" s="280">
        <f t="shared" si="143"/>
        <v>10000</v>
      </c>
      <c r="AE76" s="254">
        <v>250</v>
      </c>
      <c r="AF76" s="255">
        <v>40</v>
      </c>
      <c r="AG76" s="280">
        <f t="shared" si="144"/>
        <v>10000</v>
      </c>
      <c r="AH76" s="254">
        <v>250</v>
      </c>
      <c r="AI76" s="255">
        <v>40</v>
      </c>
      <c r="AJ76" s="280">
        <f t="shared" si="145"/>
        <v>10000</v>
      </c>
      <c r="AK76" s="254">
        <v>250</v>
      </c>
      <c r="AL76" s="255">
        <v>40</v>
      </c>
      <c r="AM76" s="280">
        <f t="shared" si="146"/>
        <v>10000</v>
      </c>
      <c r="AN76" s="254">
        <v>250</v>
      </c>
      <c r="AO76" s="255">
        <v>40</v>
      </c>
      <c r="AP76" s="280">
        <f t="shared" si="147"/>
        <v>10000</v>
      </c>
      <c r="AQ76" s="50"/>
      <c r="AR76" s="252"/>
      <c r="AS76" s="278"/>
      <c r="AT76" s="50"/>
      <c r="AU76" s="252"/>
      <c r="AV76" s="278"/>
      <c r="AW76" s="50"/>
      <c r="AX76" s="252"/>
      <c r="AY76" s="278"/>
      <c r="AZ76" s="50"/>
      <c r="BA76" s="252"/>
      <c r="BB76" s="278"/>
      <c r="BC76" s="285">
        <f t="shared" ref="BC76" si="163">SUM(U76,X76,AA76,AD76,AG76,AJ76,AM76,AP76,AS76,AV76,AY76,BB76)</f>
        <v>70000</v>
      </c>
    </row>
    <row r="77" spans="1:55" ht="15" thickBot="1" x14ac:dyDescent="0.35">
      <c r="A77" s="194" t="s">
        <v>77</v>
      </c>
      <c r="B77" s="195" t="s">
        <v>9</v>
      </c>
      <c r="C77" s="198" t="s">
        <v>58</v>
      </c>
      <c r="D77" s="199"/>
      <c r="E77" s="143" t="s">
        <v>101</v>
      </c>
      <c r="F77" s="200" t="s">
        <v>4</v>
      </c>
      <c r="G77" s="201">
        <v>43891</v>
      </c>
      <c r="H77" s="229"/>
      <c r="I77" s="229"/>
      <c r="J77" s="316"/>
      <c r="K77" s="230" t="s">
        <v>13</v>
      </c>
      <c r="L77" s="318">
        <v>43891</v>
      </c>
      <c r="M77" s="318">
        <v>44561</v>
      </c>
      <c r="N77" s="317"/>
      <c r="O77" s="144"/>
      <c r="P77" s="144"/>
      <c r="Q77" s="203">
        <v>9849</v>
      </c>
      <c r="R77" s="195" t="s">
        <v>9</v>
      </c>
      <c r="S77" s="254">
        <v>469</v>
      </c>
      <c r="T77" s="255">
        <v>21</v>
      </c>
      <c r="U77" s="280">
        <f t="shared" si="140"/>
        <v>9849</v>
      </c>
      <c r="V77" s="254">
        <v>469</v>
      </c>
      <c r="W77" s="255">
        <v>21</v>
      </c>
      <c r="X77" s="280">
        <f t="shared" si="141"/>
        <v>9849</v>
      </c>
      <c r="Y77" s="354"/>
      <c r="Z77" s="355"/>
      <c r="AA77" s="355"/>
      <c r="AB77" s="354"/>
      <c r="AC77" s="355"/>
      <c r="AD77" s="355"/>
      <c r="AE77" s="354"/>
      <c r="AF77" s="355"/>
      <c r="AG77" s="355"/>
      <c r="AH77" s="354"/>
      <c r="AI77" s="355"/>
      <c r="AJ77" s="355"/>
      <c r="AK77" s="354"/>
      <c r="AL77" s="355"/>
      <c r="AM77" s="355"/>
      <c r="AN77" s="354"/>
      <c r="AO77" s="355"/>
      <c r="AP77" s="355"/>
      <c r="AQ77" s="354"/>
      <c r="AR77" s="355"/>
      <c r="AS77" s="355"/>
      <c r="AT77" s="354"/>
      <c r="AU77" s="355"/>
      <c r="AV77" s="355"/>
      <c r="AW77" s="354"/>
      <c r="AX77" s="355"/>
      <c r="AY77" s="355"/>
      <c r="AZ77" s="354"/>
      <c r="BA77" s="355"/>
      <c r="BB77" s="355"/>
      <c r="BC77" s="285">
        <f t="shared" si="48"/>
        <v>19698</v>
      </c>
    </row>
    <row r="78" spans="1:55" ht="15" thickBot="1" x14ac:dyDescent="0.35">
      <c r="A78" s="194" t="s">
        <v>91</v>
      </c>
      <c r="B78" s="195" t="s">
        <v>9</v>
      </c>
      <c r="C78" s="198" t="s">
        <v>58</v>
      </c>
      <c r="D78" s="199"/>
      <c r="E78" s="143" t="s">
        <v>100</v>
      </c>
      <c r="F78" s="200" t="s">
        <v>4</v>
      </c>
      <c r="G78" s="201">
        <v>43862</v>
      </c>
      <c r="H78" s="229"/>
      <c r="I78" s="229"/>
      <c r="J78" s="316"/>
      <c r="K78" s="230" t="s">
        <v>12</v>
      </c>
      <c r="L78" s="318">
        <v>43862</v>
      </c>
      <c r="M78" s="318">
        <v>44561</v>
      </c>
      <c r="N78" s="317"/>
      <c r="O78" s="144"/>
      <c r="P78" s="144"/>
      <c r="Q78" s="203">
        <v>0</v>
      </c>
      <c r="R78" s="195" t="s">
        <v>9</v>
      </c>
      <c r="S78" s="50"/>
      <c r="T78" s="252"/>
      <c r="U78" s="278"/>
      <c r="V78" s="50"/>
      <c r="W78" s="252"/>
      <c r="X78" s="278"/>
      <c r="Y78" s="50"/>
      <c r="Z78" s="252"/>
      <c r="AA78" s="278"/>
      <c r="AB78" s="50"/>
      <c r="AC78" s="252"/>
      <c r="AD78" s="278"/>
      <c r="AE78" s="50"/>
      <c r="AF78" s="252"/>
      <c r="AG78" s="278"/>
      <c r="AH78" s="50"/>
      <c r="AI78" s="252"/>
      <c r="AJ78" s="278"/>
      <c r="AK78" s="50"/>
      <c r="AL78" s="252"/>
      <c r="AM78" s="278"/>
      <c r="AN78" s="50"/>
      <c r="AO78" s="252"/>
      <c r="AP78" s="278"/>
      <c r="AQ78" s="50"/>
      <c r="AR78" s="252"/>
      <c r="AS78" s="278"/>
      <c r="AT78" s="50"/>
      <c r="AU78" s="252"/>
      <c r="AV78" s="278"/>
      <c r="AW78" s="50"/>
      <c r="AX78" s="252"/>
      <c r="AY78" s="278"/>
      <c r="AZ78" s="50"/>
      <c r="BA78" s="252"/>
      <c r="BB78" s="278"/>
      <c r="BC78" s="285">
        <f t="shared" si="48"/>
        <v>0</v>
      </c>
    </row>
    <row r="79" spans="1:55" ht="15" thickBot="1" x14ac:dyDescent="0.35">
      <c r="A79" s="194" t="s">
        <v>78</v>
      </c>
      <c r="B79" s="195" t="s">
        <v>29</v>
      </c>
      <c r="C79" s="198" t="s">
        <v>58</v>
      </c>
      <c r="D79" s="199"/>
      <c r="E79" s="143" t="s">
        <v>102</v>
      </c>
      <c r="F79" s="200" t="s">
        <v>4</v>
      </c>
      <c r="G79" s="201">
        <v>43952</v>
      </c>
      <c r="H79" s="229"/>
      <c r="I79" s="229"/>
      <c r="J79" s="316"/>
      <c r="K79" s="230" t="s">
        <v>12</v>
      </c>
      <c r="L79" s="318">
        <v>43952</v>
      </c>
      <c r="M79" s="318">
        <v>44561</v>
      </c>
      <c r="N79" s="317"/>
      <c r="O79" s="144"/>
      <c r="P79" s="144"/>
      <c r="Q79" s="203">
        <v>10000</v>
      </c>
      <c r="R79" s="195" t="s">
        <v>29</v>
      </c>
      <c r="S79" s="254">
        <v>400</v>
      </c>
      <c r="T79" s="255">
        <v>25</v>
      </c>
      <c r="U79" s="280">
        <f t="shared" ref="U79:U103" si="164">S79*T79</f>
        <v>10000</v>
      </c>
      <c r="V79" s="254">
        <v>400</v>
      </c>
      <c r="W79" s="255">
        <v>25</v>
      </c>
      <c r="X79" s="280">
        <f t="shared" ref="X79:X107" si="165">V79*W79</f>
        <v>10000</v>
      </c>
      <c r="Y79" s="254">
        <v>400</v>
      </c>
      <c r="Z79" s="255">
        <v>25</v>
      </c>
      <c r="AA79" s="280">
        <f t="shared" ref="AA79:AA107" si="166">Y79*Z79</f>
        <v>10000</v>
      </c>
      <c r="AB79" s="254">
        <v>400</v>
      </c>
      <c r="AC79" s="255">
        <v>25</v>
      </c>
      <c r="AD79" s="280">
        <f t="shared" ref="AD79:AD107" si="167">AB79*AC79</f>
        <v>10000</v>
      </c>
      <c r="AE79" s="254">
        <v>400</v>
      </c>
      <c r="AF79" s="255">
        <v>25</v>
      </c>
      <c r="AG79" s="280">
        <f t="shared" ref="AG79:AG107" si="168">AE79*AF79</f>
        <v>10000</v>
      </c>
      <c r="AH79" s="254">
        <v>400</v>
      </c>
      <c r="AI79" s="255">
        <v>25</v>
      </c>
      <c r="AJ79" s="280">
        <f t="shared" ref="AJ79:AJ107" si="169">AH79*AI79</f>
        <v>10000</v>
      </c>
      <c r="AK79" s="254">
        <v>400</v>
      </c>
      <c r="AL79" s="255">
        <v>25</v>
      </c>
      <c r="AM79" s="280">
        <f t="shared" ref="AM79:AM107" si="170">AK79*AL79</f>
        <v>10000</v>
      </c>
      <c r="AN79" s="254">
        <v>400</v>
      </c>
      <c r="AO79" s="255">
        <v>25</v>
      </c>
      <c r="AP79" s="280">
        <f t="shared" ref="AP79:AP107" si="171">AN79*AO79</f>
        <v>10000</v>
      </c>
      <c r="AQ79" s="50"/>
      <c r="AR79" s="252"/>
      <c r="AS79" s="278"/>
      <c r="AT79" s="50"/>
      <c r="AU79" s="252"/>
      <c r="AV79" s="278"/>
      <c r="AW79" s="50"/>
      <c r="AX79" s="252"/>
      <c r="AY79" s="278"/>
      <c r="AZ79" s="50"/>
      <c r="BA79" s="252"/>
      <c r="BB79" s="278"/>
      <c r="BC79" s="285">
        <f t="shared" si="48"/>
        <v>80000</v>
      </c>
    </row>
    <row r="80" spans="1:55" ht="15" thickBot="1" x14ac:dyDescent="0.35">
      <c r="A80" s="194" t="s">
        <v>79</v>
      </c>
      <c r="B80" s="195" t="s">
        <v>29</v>
      </c>
      <c r="C80" s="198" t="s">
        <v>58</v>
      </c>
      <c r="D80" s="199"/>
      <c r="E80" s="143" t="s">
        <v>102</v>
      </c>
      <c r="F80" s="200" t="s">
        <v>4</v>
      </c>
      <c r="G80" s="201">
        <v>43952</v>
      </c>
      <c r="H80" s="229"/>
      <c r="I80" s="229"/>
      <c r="J80" s="316"/>
      <c r="K80" s="230" t="s">
        <v>12</v>
      </c>
      <c r="L80" s="318">
        <v>43952</v>
      </c>
      <c r="M80" s="318">
        <v>44561</v>
      </c>
      <c r="N80" s="317"/>
      <c r="O80" s="144"/>
      <c r="P80" s="144"/>
      <c r="Q80" s="203">
        <v>10000</v>
      </c>
      <c r="R80" s="195" t="s">
        <v>29</v>
      </c>
      <c r="S80" s="254">
        <v>400</v>
      </c>
      <c r="T80" s="255">
        <v>25</v>
      </c>
      <c r="U80" s="280">
        <f t="shared" si="164"/>
        <v>10000</v>
      </c>
      <c r="V80" s="254">
        <v>400</v>
      </c>
      <c r="W80" s="255">
        <v>25</v>
      </c>
      <c r="X80" s="280">
        <f t="shared" si="165"/>
        <v>10000</v>
      </c>
      <c r="Y80" s="254">
        <v>400</v>
      </c>
      <c r="Z80" s="255">
        <v>25</v>
      </c>
      <c r="AA80" s="280">
        <f t="shared" si="166"/>
        <v>10000</v>
      </c>
      <c r="AB80" s="254">
        <v>400</v>
      </c>
      <c r="AC80" s="255">
        <v>25</v>
      </c>
      <c r="AD80" s="280">
        <f t="shared" si="167"/>
        <v>10000</v>
      </c>
      <c r="AE80" s="254">
        <v>400</v>
      </c>
      <c r="AF80" s="255">
        <v>25</v>
      </c>
      <c r="AG80" s="280">
        <f t="shared" si="168"/>
        <v>10000</v>
      </c>
      <c r="AH80" s="254">
        <v>400</v>
      </c>
      <c r="AI80" s="255">
        <v>25</v>
      </c>
      <c r="AJ80" s="280">
        <f t="shared" si="169"/>
        <v>10000</v>
      </c>
      <c r="AK80" s="254">
        <v>400</v>
      </c>
      <c r="AL80" s="255">
        <v>25</v>
      </c>
      <c r="AM80" s="280">
        <f t="shared" si="170"/>
        <v>10000</v>
      </c>
      <c r="AN80" s="254">
        <v>400</v>
      </c>
      <c r="AO80" s="255">
        <v>25</v>
      </c>
      <c r="AP80" s="280">
        <f t="shared" si="171"/>
        <v>10000</v>
      </c>
      <c r="AQ80" s="254">
        <v>400</v>
      </c>
      <c r="AR80" s="255">
        <v>25</v>
      </c>
      <c r="AS80" s="280">
        <f t="shared" ref="AS80:AS107" si="172">AQ80*AR80</f>
        <v>10000</v>
      </c>
      <c r="AT80" s="254">
        <v>400</v>
      </c>
      <c r="AU80" s="255">
        <v>25</v>
      </c>
      <c r="AV80" s="280">
        <f t="shared" ref="AV80:AV107" si="173">AT80*AU80</f>
        <v>10000</v>
      </c>
      <c r="AW80" s="254">
        <v>400</v>
      </c>
      <c r="AX80" s="255">
        <v>25</v>
      </c>
      <c r="AY80" s="280">
        <f t="shared" ref="AY80:AY107" si="174">AW80*AX80</f>
        <v>10000</v>
      </c>
      <c r="AZ80" s="254">
        <v>400</v>
      </c>
      <c r="BA80" s="255">
        <v>25</v>
      </c>
      <c r="BB80" s="280">
        <f t="shared" ref="BB80:BB107" si="175">AZ80*BA80</f>
        <v>10000</v>
      </c>
      <c r="BC80" s="285">
        <f t="shared" si="48"/>
        <v>120000</v>
      </c>
    </row>
    <row r="81" spans="1:55" ht="15" thickBot="1" x14ac:dyDescent="0.35">
      <c r="A81" s="194" t="s">
        <v>80</v>
      </c>
      <c r="B81" s="195" t="s">
        <v>29</v>
      </c>
      <c r="C81" s="198" t="s">
        <v>58</v>
      </c>
      <c r="D81" s="199"/>
      <c r="E81" s="143" t="s">
        <v>103</v>
      </c>
      <c r="F81" s="200" t="s">
        <v>4</v>
      </c>
      <c r="G81" s="201">
        <v>43952</v>
      </c>
      <c r="H81" s="229"/>
      <c r="I81" s="229"/>
      <c r="J81" s="316"/>
      <c r="K81" s="230" t="s">
        <v>12</v>
      </c>
      <c r="L81" s="318">
        <v>43952</v>
      </c>
      <c r="M81" s="318">
        <v>44561</v>
      </c>
      <c r="N81" s="317"/>
      <c r="O81" s="144"/>
      <c r="P81" s="144"/>
      <c r="Q81" s="203">
        <v>10000</v>
      </c>
      <c r="R81" s="195" t="s">
        <v>29</v>
      </c>
      <c r="S81" s="254">
        <v>400</v>
      </c>
      <c r="T81" s="255">
        <v>25</v>
      </c>
      <c r="U81" s="280">
        <f t="shared" si="164"/>
        <v>10000</v>
      </c>
      <c r="V81" s="254">
        <v>400</v>
      </c>
      <c r="W81" s="255">
        <v>25</v>
      </c>
      <c r="X81" s="280">
        <f t="shared" si="165"/>
        <v>10000</v>
      </c>
      <c r="Y81" s="254">
        <v>400</v>
      </c>
      <c r="Z81" s="255">
        <v>25</v>
      </c>
      <c r="AA81" s="280">
        <f t="shared" si="166"/>
        <v>10000</v>
      </c>
      <c r="AB81" s="254">
        <v>400</v>
      </c>
      <c r="AC81" s="255">
        <v>25</v>
      </c>
      <c r="AD81" s="280">
        <f t="shared" si="167"/>
        <v>10000</v>
      </c>
      <c r="AE81" s="254">
        <v>400</v>
      </c>
      <c r="AF81" s="255">
        <v>25</v>
      </c>
      <c r="AG81" s="280">
        <f t="shared" si="168"/>
        <v>10000</v>
      </c>
      <c r="AH81" s="254">
        <v>400</v>
      </c>
      <c r="AI81" s="255">
        <v>25</v>
      </c>
      <c r="AJ81" s="280">
        <f t="shared" si="169"/>
        <v>10000</v>
      </c>
      <c r="AK81" s="254">
        <v>400</v>
      </c>
      <c r="AL81" s="255">
        <v>25</v>
      </c>
      <c r="AM81" s="280">
        <f t="shared" si="170"/>
        <v>10000</v>
      </c>
      <c r="AN81" s="254">
        <v>400</v>
      </c>
      <c r="AO81" s="255">
        <v>25</v>
      </c>
      <c r="AP81" s="280">
        <f t="shared" si="171"/>
        <v>10000</v>
      </c>
      <c r="AQ81" s="254">
        <v>400</v>
      </c>
      <c r="AR81" s="255">
        <v>25</v>
      </c>
      <c r="AS81" s="280">
        <f t="shared" si="172"/>
        <v>10000</v>
      </c>
      <c r="AT81" s="254">
        <v>400</v>
      </c>
      <c r="AU81" s="255">
        <v>25</v>
      </c>
      <c r="AV81" s="280">
        <f t="shared" si="173"/>
        <v>10000</v>
      </c>
      <c r="AW81" s="254">
        <v>400</v>
      </c>
      <c r="AX81" s="255">
        <v>25</v>
      </c>
      <c r="AY81" s="280">
        <f t="shared" si="174"/>
        <v>10000</v>
      </c>
      <c r="AZ81" s="254">
        <v>400</v>
      </c>
      <c r="BA81" s="255">
        <v>25</v>
      </c>
      <c r="BB81" s="280">
        <f t="shared" si="175"/>
        <v>10000</v>
      </c>
      <c r="BC81" s="285">
        <f t="shared" si="48"/>
        <v>120000</v>
      </c>
    </row>
    <row r="82" spans="1:55" ht="15" thickBot="1" x14ac:dyDescent="0.35">
      <c r="A82" s="194" t="s">
        <v>108</v>
      </c>
      <c r="B82" s="195" t="s">
        <v>29</v>
      </c>
      <c r="C82" s="198" t="s">
        <v>58</v>
      </c>
      <c r="D82" s="199"/>
      <c r="E82" s="143" t="s">
        <v>97</v>
      </c>
      <c r="F82" s="200" t="s">
        <v>4</v>
      </c>
      <c r="G82" s="201">
        <v>43952</v>
      </c>
      <c r="H82" s="229"/>
      <c r="I82" s="229"/>
      <c r="J82" s="316"/>
      <c r="K82" s="230" t="s">
        <v>12</v>
      </c>
      <c r="L82" s="318">
        <v>43952</v>
      </c>
      <c r="M82" s="318">
        <v>44561</v>
      </c>
      <c r="N82" s="317"/>
      <c r="O82" s="144"/>
      <c r="P82" s="144"/>
      <c r="Q82" s="203">
        <v>10000</v>
      </c>
      <c r="R82" s="195" t="s">
        <v>29</v>
      </c>
      <c r="S82" s="254">
        <v>400</v>
      </c>
      <c r="T82" s="255">
        <v>25</v>
      </c>
      <c r="U82" s="280">
        <f t="shared" si="164"/>
        <v>10000</v>
      </c>
      <c r="V82" s="254">
        <v>400</v>
      </c>
      <c r="W82" s="255">
        <v>25</v>
      </c>
      <c r="X82" s="280">
        <f t="shared" si="165"/>
        <v>10000</v>
      </c>
      <c r="Y82" s="254">
        <v>400</v>
      </c>
      <c r="Z82" s="255">
        <v>25</v>
      </c>
      <c r="AA82" s="280">
        <f t="shared" si="166"/>
        <v>10000</v>
      </c>
      <c r="AB82" s="254">
        <v>400</v>
      </c>
      <c r="AC82" s="255">
        <v>25</v>
      </c>
      <c r="AD82" s="280">
        <f t="shared" si="167"/>
        <v>10000</v>
      </c>
      <c r="AE82" s="254">
        <v>400</v>
      </c>
      <c r="AF82" s="255">
        <v>25</v>
      </c>
      <c r="AG82" s="280">
        <f t="shared" si="168"/>
        <v>10000</v>
      </c>
      <c r="AH82" s="254">
        <v>400</v>
      </c>
      <c r="AI82" s="255">
        <v>25</v>
      </c>
      <c r="AJ82" s="280">
        <f t="shared" si="169"/>
        <v>10000</v>
      </c>
      <c r="AK82" s="254">
        <v>400</v>
      </c>
      <c r="AL82" s="255">
        <v>25</v>
      </c>
      <c r="AM82" s="280">
        <f t="shared" si="170"/>
        <v>10000</v>
      </c>
      <c r="AN82" s="254">
        <v>400</v>
      </c>
      <c r="AO82" s="255">
        <v>25</v>
      </c>
      <c r="AP82" s="280">
        <f t="shared" si="171"/>
        <v>10000</v>
      </c>
      <c r="AQ82" s="254">
        <v>400</v>
      </c>
      <c r="AR82" s="255">
        <v>25</v>
      </c>
      <c r="AS82" s="280">
        <f t="shared" si="172"/>
        <v>10000</v>
      </c>
      <c r="AT82" s="254">
        <v>400</v>
      </c>
      <c r="AU82" s="255">
        <v>25</v>
      </c>
      <c r="AV82" s="280">
        <f t="shared" si="173"/>
        <v>10000</v>
      </c>
      <c r="AW82" s="254">
        <v>400</v>
      </c>
      <c r="AX82" s="255">
        <v>25</v>
      </c>
      <c r="AY82" s="280">
        <f t="shared" si="174"/>
        <v>10000</v>
      </c>
      <c r="AZ82" s="254">
        <v>400</v>
      </c>
      <c r="BA82" s="255">
        <v>25</v>
      </c>
      <c r="BB82" s="280">
        <f t="shared" si="175"/>
        <v>10000</v>
      </c>
      <c r="BC82" s="285">
        <f t="shared" si="48"/>
        <v>120000</v>
      </c>
    </row>
    <row r="83" spans="1:55" ht="15" thickBot="1" x14ac:dyDescent="0.35">
      <c r="A83" s="194" t="s">
        <v>164</v>
      </c>
      <c r="B83" s="195" t="s">
        <v>30</v>
      </c>
      <c r="C83" s="198" t="s">
        <v>58</v>
      </c>
      <c r="D83" s="199"/>
      <c r="E83" s="143" t="s">
        <v>98</v>
      </c>
      <c r="F83" s="200" t="s">
        <v>4</v>
      </c>
      <c r="G83" s="201">
        <v>44440</v>
      </c>
      <c r="H83" s="229"/>
      <c r="I83" s="229"/>
      <c r="J83" s="316">
        <v>0</v>
      </c>
      <c r="K83" s="316" t="s">
        <v>13</v>
      </c>
      <c r="L83" s="201">
        <v>44440</v>
      </c>
      <c r="M83" s="318">
        <v>44561</v>
      </c>
      <c r="N83" s="317"/>
      <c r="O83" s="144"/>
      <c r="P83" s="144"/>
      <c r="Q83" s="203">
        <v>5200</v>
      </c>
      <c r="R83" s="195" t="s">
        <v>30</v>
      </c>
      <c r="S83" s="50"/>
      <c r="T83" s="252"/>
      <c r="U83" s="278"/>
      <c r="V83" s="50"/>
      <c r="W83" s="252"/>
      <c r="X83" s="278"/>
      <c r="Y83" s="50"/>
      <c r="Z83" s="252"/>
      <c r="AA83" s="278"/>
      <c r="AB83" s="50"/>
      <c r="AC83" s="252"/>
      <c r="AD83" s="278"/>
      <c r="AE83" s="50"/>
      <c r="AF83" s="252"/>
      <c r="AG83" s="278"/>
      <c r="AH83" s="50"/>
      <c r="AI83" s="252"/>
      <c r="AJ83" s="278"/>
      <c r="AK83" s="50"/>
      <c r="AL83" s="252"/>
      <c r="AM83" s="278"/>
      <c r="AN83" s="50"/>
      <c r="AO83" s="252"/>
      <c r="AP83" s="278"/>
      <c r="AQ83" s="50"/>
      <c r="AR83" s="252"/>
      <c r="AS83" s="278"/>
      <c r="AT83" s="254">
        <v>400</v>
      </c>
      <c r="AU83" s="255">
        <v>20</v>
      </c>
      <c r="AV83" s="280">
        <f t="shared" si="173"/>
        <v>8000</v>
      </c>
      <c r="AW83" s="254">
        <v>400</v>
      </c>
      <c r="AX83" s="255">
        <v>20</v>
      </c>
      <c r="AY83" s="280">
        <f t="shared" si="174"/>
        <v>8000</v>
      </c>
      <c r="AZ83" s="254">
        <v>400</v>
      </c>
      <c r="BA83" s="255">
        <v>20</v>
      </c>
      <c r="BB83" s="280">
        <f t="shared" si="175"/>
        <v>8000</v>
      </c>
      <c r="BC83" s="285">
        <f t="shared" ref="BC83" si="176">SUM(U83,X83,AA83,AD83,AG83,AJ83,AM83,AP83,AS83,AV83,AY83,BB83)</f>
        <v>24000</v>
      </c>
    </row>
    <row r="84" spans="1:55" ht="15" thickBot="1" x14ac:dyDescent="0.35">
      <c r="A84" s="194" t="s">
        <v>163</v>
      </c>
      <c r="B84" s="195" t="s">
        <v>30</v>
      </c>
      <c r="C84" s="198" t="s">
        <v>58</v>
      </c>
      <c r="D84" s="199"/>
      <c r="E84" s="143" t="s">
        <v>99</v>
      </c>
      <c r="F84" s="200" t="s">
        <v>4</v>
      </c>
      <c r="G84" s="201">
        <v>44409</v>
      </c>
      <c r="H84" s="229"/>
      <c r="I84" s="229"/>
      <c r="J84" s="316"/>
      <c r="K84" s="230" t="s">
        <v>12</v>
      </c>
      <c r="L84" s="318">
        <v>44409</v>
      </c>
      <c r="M84" s="318">
        <v>44561</v>
      </c>
      <c r="N84" s="317"/>
      <c r="O84" s="144"/>
      <c r="P84" s="144"/>
      <c r="Q84" s="203">
        <v>8000</v>
      </c>
      <c r="R84" s="195" t="s">
        <v>30</v>
      </c>
      <c r="S84" s="50"/>
      <c r="T84" s="252"/>
      <c r="U84" s="278"/>
      <c r="V84" s="50"/>
      <c r="W84" s="252"/>
      <c r="X84" s="278"/>
      <c r="Y84" s="50"/>
      <c r="Z84" s="252"/>
      <c r="AA84" s="278"/>
      <c r="AB84" s="50"/>
      <c r="AC84" s="252"/>
      <c r="AD84" s="278"/>
      <c r="AE84" s="50"/>
      <c r="AF84" s="252"/>
      <c r="AG84" s="278"/>
      <c r="AH84" s="50"/>
      <c r="AI84" s="252"/>
      <c r="AJ84" s="278"/>
      <c r="AK84" s="50"/>
      <c r="AL84" s="252"/>
      <c r="AM84" s="278"/>
      <c r="AN84" s="254">
        <v>400</v>
      </c>
      <c r="AO84" s="255">
        <v>20</v>
      </c>
      <c r="AP84" s="280">
        <f t="shared" ref="AP84" si="177">AN84*AO84</f>
        <v>8000</v>
      </c>
      <c r="AQ84" s="254">
        <v>400</v>
      </c>
      <c r="AR84" s="255">
        <v>20</v>
      </c>
      <c r="AS84" s="280">
        <f t="shared" si="172"/>
        <v>8000</v>
      </c>
      <c r="AT84" s="254">
        <v>400</v>
      </c>
      <c r="AU84" s="255">
        <v>20</v>
      </c>
      <c r="AV84" s="280">
        <f t="shared" si="173"/>
        <v>8000</v>
      </c>
      <c r="AW84" s="254">
        <v>400</v>
      </c>
      <c r="AX84" s="255">
        <v>20</v>
      </c>
      <c r="AY84" s="280">
        <f t="shared" si="174"/>
        <v>8000</v>
      </c>
      <c r="AZ84" s="254">
        <v>400</v>
      </c>
      <c r="BA84" s="255">
        <v>20</v>
      </c>
      <c r="BB84" s="280">
        <f t="shared" si="175"/>
        <v>8000</v>
      </c>
      <c r="BC84" s="285">
        <f t="shared" si="48"/>
        <v>40000</v>
      </c>
    </row>
    <row r="85" spans="1:55" ht="15" thickBot="1" x14ac:dyDescent="0.35">
      <c r="A85" s="194" t="s">
        <v>165</v>
      </c>
      <c r="B85" s="195" t="s">
        <v>30</v>
      </c>
      <c r="C85" s="198" t="s">
        <v>58</v>
      </c>
      <c r="D85" s="199"/>
      <c r="E85" s="143" t="s">
        <v>98</v>
      </c>
      <c r="F85" s="200" t="s">
        <v>4</v>
      </c>
      <c r="G85" s="201">
        <v>44440</v>
      </c>
      <c r="H85" s="229"/>
      <c r="I85" s="229"/>
      <c r="J85" s="316">
        <v>0</v>
      </c>
      <c r="K85" s="316" t="s">
        <v>13</v>
      </c>
      <c r="L85" s="201">
        <v>44440</v>
      </c>
      <c r="M85" s="318">
        <v>44561</v>
      </c>
      <c r="N85" s="317"/>
      <c r="O85" s="144"/>
      <c r="P85" s="144"/>
      <c r="Q85" s="203">
        <v>5200</v>
      </c>
      <c r="R85" s="195" t="s">
        <v>30</v>
      </c>
      <c r="S85" s="50"/>
      <c r="T85" s="252"/>
      <c r="U85" s="278"/>
      <c r="V85" s="50"/>
      <c r="W85" s="252"/>
      <c r="X85" s="278"/>
      <c r="Y85" s="50"/>
      <c r="Z85" s="252"/>
      <c r="AA85" s="278"/>
      <c r="AB85" s="50"/>
      <c r="AC85" s="252"/>
      <c r="AD85" s="278"/>
      <c r="AE85" s="50"/>
      <c r="AF85" s="252"/>
      <c r="AG85" s="278"/>
      <c r="AH85" s="50"/>
      <c r="AI85" s="252"/>
      <c r="AJ85" s="278"/>
      <c r="AK85" s="50"/>
      <c r="AL85" s="252"/>
      <c r="AM85" s="278"/>
      <c r="AN85" s="50"/>
      <c r="AO85" s="252"/>
      <c r="AP85" s="278"/>
      <c r="AQ85" s="50"/>
      <c r="AR85" s="252"/>
      <c r="AS85" s="278"/>
      <c r="AT85" s="254">
        <v>400</v>
      </c>
      <c r="AU85" s="255">
        <v>20</v>
      </c>
      <c r="AV85" s="280">
        <f t="shared" ref="AV85" si="178">AT85*AU85</f>
        <v>8000</v>
      </c>
      <c r="AW85" s="254">
        <v>400</v>
      </c>
      <c r="AX85" s="255">
        <v>20</v>
      </c>
      <c r="AY85" s="280">
        <f t="shared" si="174"/>
        <v>8000</v>
      </c>
      <c r="AZ85" s="254">
        <v>400</v>
      </c>
      <c r="BA85" s="255">
        <v>20</v>
      </c>
      <c r="BB85" s="280">
        <f t="shared" si="175"/>
        <v>8000</v>
      </c>
      <c r="BC85" s="285">
        <f t="shared" si="48"/>
        <v>24000</v>
      </c>
    </row>
    <row r="86" spans="1:55" ht="15" thickBot="1" x14ac:dyDescent="0.35">
      <c r="A86" s="194" t="s">
        <v>82</v>
      </c>
      <c r="B86" s="195" t="s">
        <v>30</v>
      </c>
      <c r="C86" s="198" t="s">
        <v>58</v>
      </c>
      <c r="D86" s="199"/>
      <c r="E86" s="143" t="s">
        <v>97</v>
      </c>
      <c r="F86" s="200" t="s">
        <v>4</v>
      </c>
      <c r="G86" s="201">
        <v>44136</v>
      </c>
      <c r="H86" s="229"/>
      <c r="I86" s="229"/>
      <c r="J86" s="316"/>
      <c r="K86" s="230" t="s">
        <v>12</v>
      </c>
      <c r="L86" s="318">
        <v>44136</v>
      </c>
      <c r="M86" s="318">
        <v>44561</v>
      </c>
      <c r="N86" s="317"/>
      <c r="O86" s="144"/>
      <c r="P86" s="144"/>
      <c r="Q86" s="203">
        <v>10000</v>
      </c>
      <c r="R86" s="195" t="s">
        <v>30</v>
      </c>
      <c r="S86" s="254">
        <v>400</v>
      </c>
      <c r="T86" s="255">
        <v>25</v>
      </c>
      <c r="U86" s="280">
        <f t="shared" si="164"/>
        <v>10000</v>
      </c>
      <c r="V86" s="254">
        <v>400</v>
      </c>
      <c r="W86" s="255">
        <v>25</v>
      </c>
      <c r="X86" s="280">
        <f t="shared" si="165"/>
        <v>10000</v>
      </c>
      <c r="Y86" s="254">
        <v>400</v>
      </c>
      <c r="Z86" s="255">
        <v>25</v>
      </c>
      <c r="AA86" s="280">
        <f t="shared" si="166"/>
        <v>10000</v>
      </c>
      <c r="AB86" s="254">
        <v>400</v>
      </c>
      <c r="AC86" s="255">
        <v>25</v>
      </c>
      <c r="AD86" s="280">
        <f t="shared" si="167"/>
        <v>10000</v>
      </c>
      <c r="AE86" s="254">
        <v>400</v>
      </c>
      <c r="AF86" s="255">
        <v>25</v>
      </c>
      <c r="AG86" s="280">
        <f t="shared" si="168"/>
        <v>10000</v>
      </c>
      <c r="AH86" s="254">
        <v>400</v>
      </c>
      <c r="AI86" s="255">
        <v>25</v>
      </c>
      <c r="AJ86" s="280">
        <f t="shared" si="169"/>
        <v>10000</v>
      </c>
      <c r="AK86" s="254">
        <v>400</v>
      </c>
      <c r="AL86" s="255">
        <v>25</v>
      </c>
      <c r="AM86" s="280">
        <f t="shared" si="170"/>
        <v>10000</v>
      </c>
      <c r="AN86" s="254">
        <v>400</v>
      </c>
      <c r="AO86" s="255">
        <v>25</v>
      </c>
      <c r="AP86" s="280">
        <f t="shared" si="171"/>
        <v>10000</v>
      </c>
      <c r="AQ86" s="254">
        <v>400</v>
      </c>
      <c r="AR86" s="255">
        <v>25</v>
      </c>
      <c r="AS86" s="280">
        <f t="shared" si="172"/>
        <v>10000</v>
      </c>
      <c r="AT86" s="254">
        <v>400</v>
      </c>
      <c r="AU86" s="255">
        <v>25</v>
      </c>
      <c r="AV86" s="280">
        <f t="shared" si="173"/>
        <v>10000</v>
      </c>
      <c r="AW86" s="254">
        <v>400</v>
      </c>
      <c r="AX86" s="255">
        <v>25</v>
      </c>
      <c r="AY86" s="280">
        <f t="shared" si="174"/>
        <v>10000</v>
      </c>
      <c r="AZ86" s="254">
        <v>400</v>
      </c>
      <c r="BA86" s="255">
        <v>25</v>
      </c>
      <c r="BB86" s="280">
        <f t="shared" si="175"/>
        <v>10000</v>
      </c>
      <c r="BC86" s="285">
        <f t="shared" si="48"/>
        <v>120000</v>
      </c>
    </row>
    <row r="87" spans="1:55" ht="15" thickBot="1" x14ac:dyDescent="0.35">
      <c r="A87" s="194" t="s">
        <v>152</v>
      </c>
      <c r="B87" s="195" t="s">
        <v>30</v>
      </c>
      <c r="C87" s="198" t="s">
        <v>58</v>
      </c>
      <c r="D87" s="199"/>
      <c r="E87" s="143" t="s">
        <v>153</v>
      </c>
      <c r="F87" s="200" t="s">
        <v>4</v>
      </c>
      <c r="G87" s="201">
        <v>44287</v>
      </c>
      <c r="H87" s="229"/>
      <c r="I87" s="229"/>
      <c r="J87" s="316">
        <v>0</v>
      </c>
      <c r="K87" s="316" t="s">
        <v>13</v>
      </c>
      <c r="L87" s="201">
        <v>44287</v>
      </c>
      <c r="M87" s="318">
        <v>44561</v>
      </c>
      <c r="N87" s="317"/>
      <c r="O87" s="144"/>
      <c r="P87" s="144"/>
      <c r="Q87" s="203">
        <v>10000</v>
      </c>
      <c r="R87" s="195" t="s">
        <v>30</v>
      </c>
      <c r="S87" s="50"/>
      <c r="T87" s="252"/>
      <c r="U87" s="278"/>
      <c r="V87" s="50"/>
      <c r="W87" s="252"/>
      <c r="X87" s="278"/>
      <c r="Y87" s="50"/>
      <c r="Z87" s="252"/>
      <c r="AA87" s="278"/>
      <c r="AB87" s="254">
        <v>400</v>
      </c>
      <c r="AC87" s="255">
        <v>25</v>
      </c>
      <c r="AD87" s="280">
        <f t="shared" ref="AD87" si="179">AB87*AC87</f>
        <v>10000</v>
      </c>
      <c r="AE87" s="254">
        <v>400</v>
      </c>
      <c r="AF87" s="255">
        <v>25</v>
      </c>
      <c r="AG87" s="280">
        <f t="shared" si="168"/>
        <v>10000</v>
      </c>
      <c r="AH87" s="254">
        <v>400</v>
      </c>
      <c r="AI87" s="255">
        <v>25</v>
      </c>
      <c r="AJ87" s="280">
        <f t="shared" si="169"/>
        <v>10000</v>
      </c>
      <c r="AK87" s="254">
        <v>400</v>
      </c>
      <c r="AL87" s="255">
        <v>25</v>
      </c>
      <c r="AM87" s="280">
        <f t="shared" si="170"/>
        <v>10000</v>
      </c>
      <c r="AN87" s="254">
        <v>400</v>
      </c>
      <c r="AO87" s="255">
        <v>25</v>
      </c>
      <c r="AP87" s="280">
        <f t="shared" si="171"/>
        <v>10000</v>
      </c>
      <c r="AQ87" s="50"/>
      <c r="AR87" s="252"/>
      <c r="AS87" s="278"/>
      <c r="AT87" s="50"/>
      <c r="AU87" s="252"/>
      <c r="AV87" s="278"/>
      <c r="AW87" s="50"/>
      <c r="AX87" s="252"/>
      <c r="AY87" s="278"/>
      <c r="AZ87" s="50"/>
      <c r="BA87" s="252"/>
      <c r="BB87" s="278"/>
      <c r="BC87" s="285">
        <f t="shared" si="48"/>
        <v>50000</v>
      </c>
    </row>
    <row r="88" spans="1:55" ht="15" thickBot="1" x14ac:dyDescent="0.35">
      <c r="A88" s="194" t="s">
        <v>70</v>
      </c>
      <c r="B88" s="195" t="s">
        <v>30</v>
      </c>
      <c r="C88" s="198" t="s">
        <v>58</v>
      </c>
      <c r="D88" s="199"/>
      <c r="E88" s="143" t="s">
        <v>96</v>
      </c>
      <c r="F88" s="200" t="s">
        <v>4</v>
      </c>
      <c r="G88" s="201">
        <v>44136</v>
      </c>
      <c r="H88" s="201"/>
      <c r="I88" s="229"/>
      <c r="J88" s="316"/>
      <c r="K88" s="316" t="s">
        <v>12</v>
      </c>
      <c r="L88" s="330">
        <v>44136</v>
      </c>
      <c r="M88" s="318">
        <v>44561</v>
      </c>
      <c r="N88" s="317"/>
      <c r="O88" s="144"/>
      <c r="P88" s="144"/>
      <c r="Q88" s="331">
        <v>5200</v>
      </c>
      <c r="R88" s="195" t="s">
        <v>30</v>
      </c>
      <c r="S88" s="254">
        <v>400</v>
      </c>
      <c r="T88" s="255">
        <v>13</v>
      </c>
      <c r="U88" s="280">
        <f>S88*T88</f>
        <v>5200</v>
      </c>
      <c r="V88" s="254">
        <v>400</v>
      </c>
      <c r="W88" s="255">
        <v>13</v>
      </c>
      <c r="X88" s="280">
        <f>V88*W88</f>
        <v>5200</v>
      </c>
      <c r="Y88" s="254">
        <v>400</v>
      </c>
      <c r="Z88" s="255">
        <v>13</v>
      </c>
      <c r="AA88" s="280">
        <f>Y88*Z88</f>
        <v>5200</v>
      </c>
      <c r="AB88" s="254">
        <v>400</v>
      </c>
      <c r="AC88" s="255">
        <v>13</v>
      </c>
      <c r="AD88" s="280">
        <f>AB88*AC88</f>
        <v>5200</v>
      </c>
      <c r="AE88" s="254">
        <v>400</v>
      </c>
      <c r="AF88" s="255">
        <v>13</v>
      </c>
      <c r="AG88" s="280">
        <f>AE88*AF88</f>
        <v>5200</v>
      </c>
      <c r="AH88" s="254">
        <v>400</v>
      </c>
      <c r="AI88" s="255">
        <v>13</v>
      </c>
      <c r="AJ88" s="280">
        <f>AH88*AI88</f>
        <v>5200</v>
      </c>
      <c r="AK88" s="254">
        <v>400</v>
      </c>
      <c r="AL88" s="255">
        <v>13</v>
      </c>
      <c r="AM88" s="280">
        <f>AK88*AL88</f>
        <v>5200</v>
      </c>
      <c r="AN88" s="254">
        <v>400</v>
      </c>
      <c r="AO88" s="255">
        <v>13</v>
      </c>
      <c r="AP88" s="280">
        <f>AN88*AO88</f>
        <v>5200</v>
      </c>
      <c r="AQ88" s="254">
        <v>400</v>
      </c>
      <c r="AR88" s="255">
        <v>13</v>
      </c>
      <c r="AS88" s="280">
        <f>AQ88*AR88</f>
        <v>5200</v>
      </c>
      <c r="AT88" s="254">
        <v>400</v>
      </c>
      <c r="AU88" s="255">
        <v>13</v>
      </c>
      <c r="AV88" s="280">
        <f>AT88*AU88</f>
        <v>5200</v>
      </c>
      <c r="AW88" s="254">
        <v>400</v>
      </c>
      <c r="AX88" s="255">
        <v>13</v>
      </c>
      <c r="AY88" s="280">
        <f>AW88*AX88</f>
        <v>5200</v>
      </c>
      <c r="AZ88" s="254">
        <v>400</v>
      </c>
      <c r="BA88" s="255">
        <v>13</v>
      </c>
      <c r="BB88" s="280">
        <f>AZ88*BA88</f>
        <v>5200</v>
      </c>
      <c r="BC88" s="285">
        <f>SUM(U88,X88,AA88,AD88,AG88,AJ88,AM88,AP88,AS88,AV88,AY88,BB88)</f>
        <v>62400</v>
      </c>
    </row>
    <row r="89" spans="1:55" ht="15" thickBot="1" x14ac:dyDescent="0.35">
      <c r="A89" s="194" t="s">
        <v>83</v>
      </c>
      <c r="B89" s="195" t="s">
        <v>30</v>
      </c>
      <c r="C89" s="198" t="s">
        <v>58</v>
      </c>
      <c r="D89" s="199"/>
      <c r="E89" s="143" t="s">
        <v>97</v>
      </c>
      <c r="F89" s="200" t="s">
        <v>4</v>
      </c>
      <c r="G89" s="201">
        <v>44136</v>
      </c>
      <c r="H89" s="229"/>
      <c r="I89" s="229"/>
      <c r="J89" s="316"/>
      <c r="K89" s="230" t="s">
        <v>12</v>
      </c>
      <c r="L89" s="318">
        <v>44136</v>
      </c>
      <c r="M89" s="318">
        <v>44561</v>
      </c>
      <c r="N89" s="317"/>
      <c r="O89" s="144"/>
      <c r="P89" s="144"/>
      <c r="Q89" s="203">
        <v>5200</v>
      </c>
      <c r="R89" s="195" t="s">
        <v>30</v>
      </c>
      <c r="S89" s="254">
        <v>400</v>
      </c>
      <c r="T89" s="255">
        <v>13</v>
      </c>
      <c r="U89" s="280">
        <f t="shared" si="164"/>
        <v>5200</v>
      </c>
      <c r="V89" s="254">
        <v>400</v>
      </c>
      <c r="W89" s="255">
        <v>13</v>
      </c>
      <c r="X89" s="280">
        <f t="shared" si="165"/>
        <v>5200</v>
      </c>
      <c r="Y89" s="254">
        <v>400</v>
      </c>
      <c r="Z89" s="255">
        <v>13</v>
      </c>
      <c r="AA89" s="280">
        <f t="shared" si="166"/>
        <v>5200</v>
      </c>
      <c r="AB89" s="254">
        <v>400</v>
      </c>
      <c r="AC89" s="255">
        <v>13</v>
      </c>
      <c r="AD89" s="280">
        <f t="shared" si="167"/>
        <v>5200</v>
      </c>
      <c r="AE89" s="254">
        <v>400</v>
      </c>
      <c r="AF89" s="255">
        <v>13</v>
      </c>
      <c r="AG89" s="280">
        <f t="shared" si="168"/>
        <v>5200</v>
      </c>
      <c r="AH89" s="254">
        <v>400</v>
      </c>
      <c r="AI89" s="255">
        <v>13</v>
      </c>
      <c r="AJ89" s="280">
        <f t="shared" si="169"/>
        <v>5200</v>
      </c>
      <c r="AK89" s="254">
        <v>400</v>
      </c>
      <c r="AL89" s="255">
        <v>13</v>
      </c>
      <c r="AM89" s="280">
        <f t="shared" si="170"/>
        <v>5200</v>
      </c>
      <c r="AN89" s="254">
        <v>400</v>
      </c>
      <c r="AO89" s="255">
        <v>13</v>
      </c>
      <c r="AP89" s="280">
        <f t="shared" si="171"/>
        <v>5200</v>
      </c>
      <c r="AQ89" s="254">
        <v>400</v>
      </c>
      <c r="AR89" s="255">
        <v>13</v>
      </c>
      <c r="AS89" s="280">
        <f t="shared" si="172"/>
        <v>5200</v>
      </c>
      <c r="AT89" s="254">
        <v>400</v>
      </c>
      <c r="AU89" s="255">
        <v>13</v>
      </c>
      <c r="AV89" s="280">
        <f t="shared" si="173"/>
        <v>5200</v>
      </c>
      <c r="AW89" s="254">
        <v>400</v>
      </c>
      <c r="AX89" s="255">
        <v>13</v>
      </c>
      <c r="AY89" s="280">
        <f t="shared" si="174"/>
        <v>5200</v>
      </c>
      <c r="AZ89" s="254">
        <v>400</v>
      </c>
      <c r="BA89" s="255">
        <v>13</v>
      </c>
      <c r="BB89" s="280">
        <f t="shared" si="175"/>
        <v>5200</v>
      </c>
      <c r="BC89" s="285">
        <f t="shared" si="48"/>
        <v>62400</v>
      </c>
    </row>
    <row r="90" spans="1:55" ht="15" thickBot="1" x14ac:dyDescent="0.35">
      <c r="A90" s="194" t="s">
        <v>84</v>
      </c>
      <c r="B90" s="195" t="s">
        <v>30</v>
      </c>
      <c r="C90" s="198" t="s">
        <v>58</v>
      </c>
      <c r="D90" s="199"/>
      <c r="E90" s="143" t="s">
        <v>98</v>
      </c>
      <c r="F90" s="200" t="s">
        <v>4</v>
      </c>
      <c r="G90" s="201">
        <v>44136</v>
      </c>
      <c r="H90" s="229"/>
      <c r="I90" s="229"/>
      <c r="J90" s="316"/>
      <c r="K90" s="230" t="s">
        <v>12</v>
      </c>
      <c r="L90" s="318">
        <v>44136</v>
      </c>
      <c r="M90" s="318">
        <v>44561</v>
      </c>
      <c r="N90" s="317"/>
      <c r="O90" s="144"/>
      <c r="P90" s="144"/>
      <c r="Q90" s="203">
        <v>10000</v>
      </c>
      <c r="R90" s="195" t="s">
        <v>30</v>
      </c>
      <c r="S90" s="254">
        <v>400</v>
      </c>
      <c r="T90" s="255">
        <v>25</v>
      </c>
      <c r="U90" s="280">
        <f t="shared" si="164"/>
        <v>10000</v>
      </c>
      <c r="V90" s="254">
        <v>400</v>
      </c>
      <c r="W90" s="255">
        <v>25</v>
      </c>
      <c r="X90" s="280">
        <f t="shared" si="165"/>
        <v>10000</v>
      </c>
      <c r="Y90" s="254">
        <v>400</v>
      </c>
      <c r="Z90" s="255">
        <v>25</v>
      </c>
      <c r="AA90" s="280">
        <f t="shared" si="166"/>
        <v>10000</v>
      </c>
      <c r="AB90" s="254">
        <v>400</v>
      </c>
      <c r="AC90" s="255">
        <v>25</v>
      </c>
      <c r="AD90" s="280">
        <f t="shared" si="167"/>
        <v>10000</v>
      </c>
      <c r="AE90" s="50"/>
      <c r="AF90" s="252"/>
      <c r="AG90" s="278"/>
      <c r="AH90" s="50"/>
      <c r="AI90" s="252"/>
      <c r="AJ90" s="278"/>
      <c r="AK90" s="50"/>
      <c r="AL90" s="252"/>
      <c r="AM90" s="278"/>
      <c r="AN90" s="254">
        <v>400</v>
      </c>
      <c r="AO90" s="255">
        <v>25</v>
      </c>
      <c r="AP90" s="280">
        <f t="shared" si="171"/>
        <v>10000</v>
      </c>
      <c r="AQ90" s="254">
        <v>400</v>
      </c>
      <c r="AR90" s="255">
        <v>25</v>
      </c>
      <c r="AS90" s="280">
        <f t="shared" si="172"/>
        <v>10000</v>
      </c>
      <c r="AT90" s="254">
        <v>400</v>
      </c>
      <c r="AU90" s="255">
        <v>25</v>
      </c>
      <c r="AV90" s="280">
        <f t="shared" si="173"/>
        <v>10000</v>
      </c>
      <c r="AW90" s="254">
        <v>400</v>
      </c>
      <c r="AX90" s="255">
        <v>25</v>
      </c>
      <c r="AY90" s="280">
        <f t="shared" si="174"/>
        <v>10000</v>
      </c>
      <c r="AZ90" s="254">
        <v>400</v>
      </c>
      <c r="BA90" s="255">
        <v>25</v>
      </c>
      <c r="BB90" s="280">
        <f t="shared" si="175"/>
        <v>10000</v>
      </c>
      <c r="BC90" s="285">
        <f t="shared" si="48"/>
        <v>90000</v>
      </c>
    </row>
    <row r="91" spans="1:55" ht="15" thickBot="1" x14ac:dyDescent="0.35">
      <c r="A91" s="194" t="s">
        <v>85</v>
      </c>
      <c r="B91" s="195" t="s">
        <v>30</v>
      </c>
      <c r="C91" s="198" t="s">
        <v>58</v>
      </c>
      <c r="D91" s="199"/>
      <c r="E91" s="143" t="s">
        <v>96</v>
      </c>
      <c r="F91" s="200" t="s">
        <v>4</v>
      </c>
      <c r="G91" s="201">
        <v>44136</v>
      </c>
      <c r="H91" s="229"/>
      <c r="I91" s="229"/>
      <c r="J91" s="316"/>
      <c r="K91" s="230" t="s">
        <v>13</v>
      </c>
      <c r="L91" s="318">
        <v>44136</v>
      </c>
      <c r="M91" s="318">
        <v>44561</v>
      </c>
      <c r="N91" s="317"/>
      <c r="O91" s="144"/>
      <c r="P91" s="144"/>
      <c r="Q91" s="203">
        <v>5200</v>
      </c>
      <c r="R91" s="195" t="s">
        <v>30</v>
      </c>
      <c r="S91" s="254">
        <v>400</v>
      </c>
      <c r="T91" s="255">
        <v>13</v>
      </c>
      <c r="U91" s="280">
        <f t="shared" si="164"/>
        <v>5200</v>
      </c>
      <c r="V91" s="254">
        <v>400</v>
      </c>
      <c r="W91" s="255">
        <v>13</v>
      </c>
      <c r="X91" s="280">
        <f t="shared" si="165"/>
        <v>5200</v>
      </c>
      <c r="Y91" s="254">
        <v>400</v>
      </c>
      <c r="Z91" s="255">
        <v>13</v>
      </c>
      <c r="AA91" s="280">
        <f t="shared" si="166"/>
        <v>5200</v>
      </c>
      <c r="AB91" s="254">
        <v>400</v>
      </c>
      <c r="AC91" s="255">
        <v>13</v>
      </c>
      <c r="AD91" s="280">
        <f t="shared" si="167"/>
        <v>5200</v>
      </c>
      <c r="AE91" s="254">
        <v>400</v>
      </c>
      <c r="AF91" s="255">
        <v>13</v>
      </c>
      <c r="AG91" s="280">
        <f t="shared" si="168"/>
        <v>5200</v>
      </c>
      <c r="AH91" s="254">
        <v>400</v>
      </c>
      <c r="AI91" s="255">
        <v>13</v>
      </c>
      <c r="AJ91" s="280">
        <f t="shared" si="169"/>
        <v>5200</v>
      </c>
      <c r="AK91" s="254">
        <v>400</v>
      </c>
      <c r="AL91" s="255">
        <v>13</v>
      </c>
      <c r="AM91" s="280">
        <f t="shared" si="170"/>
        <v>5200</v>
      </c>
      <c r="AN91" s="254">
        <v>400</v>
      </c>
      <c r="AO91" s="255">
        <v>13</v>
      </c>
      <c r="AP91" s="280">
        <f t="shared" si="171"/>
        <v>5200</v>
      </c>
      <c r="AQ91" s="254">
        <v>400</v>
      </c>
      <c r="AR91" s="255">
        <v>13</v>
      </c>
      <c r="AS91" s="280">
        <f t="shared" si="172"/>
        <v>5200</v>
      </c>
      <c r="AT91" s="254">
        <v>400</v>
      </c>
      <c r="AU91" s="255">
        <v>13</v>
      </c>
      <c r="AV91" s="280">
        <f t="shared" si="173"/>
        <v>5200</v>
      </c>
      <c r="AW91" s="254">
        <v>400</v>
      </c>
      <c r="AX91" s="255">
        <v>13</v>
      </c>
      <c r="AY91" s="280">
        <f t="shared" si="174"/>
        <v>5200</v>
      </c>
      <c r="AZ91" s="254">
        <v>400</v>
      </c>
      <c r="BA91" s="255">
        <v>13</v>
      </c>
      <c r="BB91" s="280">
        <f t="shared" si="175"/>
        <v>5200</v>
      </c>
      <c r="BC91" s="285">
        <f t="shared" si="48"/>
        <v>62400</v>
      </c>
    </row>
    <row r="92" spans="1:55" ht="15" thickBot="1" x14ac:dyDescent="0.35">
      <c r="A92" s="194" t="s">
        <v>146</v>
      </c>
      <c r="B92" s="195" t="s">
        <v>30</v>
      </c>
      <c r="C92" s="198" t="s">
        <v>58</v>
      </c>
      <c r="D92" s="199"/>
      <c r="E92" s="143" t="s">
        <v>99</v>
      </c>
      <c r="F92" s="200" t="s">
        <v>4</v>
      </c>
      <c r="G92" s="201">
        <v>44256</v>
      </c>
      <c r="H92" s="229"/>
      <c r="I92" s="229"/>
      <c r="J92" s="316"/>
      <c r="K92" s="230" t="s">
        <v>12</v>
      </c>
      <c r="L92" s="318">
        <v>44256</v>
      </c>
      <c r="M92" s="318">
        <v>44561</v>
      </c>
      <c r="N92" s="317"/>
      <c r="O92" s="144"/>
      <c r="P92" s="144"/>
      <c r="Q92" s="203">
        <v>5200</v>
      </c>
      <c r="R92" s="195" t="s">
        <v>30</v>
      </c>
      <c r="S92" s="50"/>
      <c r="T92" s="252"/>
      <c r="U92" s="278"/>
      <c r="V92" s="254">
        <v>400</v>
      </c>
      <c r="W92" s="255">
        <v>13</v>
      </c>
      <c r="X92" s="280">
        <f t="shared" si="165"/>
        <v>5200</v>
      </c>
      <c r="Y92" s="254">
        <v>400</v>
      </c>
      <c r="Z92" s="255">
        <v>13</v>
      </c>
      <c r="AA92" s="280">
        <f t="shared" si="166"/>
        <v>5200</v>
      </c>
      <c r="AB92" s="254">
        <v>400</v>
      </c>
      <c r="AC92" s="255">
        <v>13</v>
      </c>
      <c r="AD92" s="280">
        <f t="shared" si="167"/>
        <v>5200</v>
      </c>
      <c r="AE92" s="254">
        <v>400</v>
      </c>
      <c r="AF92" s="255">
        <v>13</v>
      </c>
      <c r="AG92" s="280">
        <f t="shared" si="168"/>
        <v>5200</v>
      </c>
      <c r="AH92" s="254">
        <v>400</v>
      </c>
      <c r="AI92" s="255">
        <v>13</v>
      </c>
      <c r="AJ92" s="280">
        <f t="shared" si="169"/>
        <v>5200</v>
      </c>
      <c r="AK92" s="254">
        <v>400</v>
      </c>
      <c r="AL92" s="255">
        <v>13</v>
      </c>
      <c r="AM92" s="280">
        <f t="shared" si="170"/>
        <v>5200</v>
      </c>
      <c r="AN92" s="50"/>
      <c r="AO92" s="252"/>
      <c r="AP92" s="278"/>
      <c r="AQ92" s="50"/>
      <c r="AR92" s="252"/>
      <c r="AS92" s="278"/>
      <c r="AT92" s="50"/>
      <c r="AU92" s="252"/>
      <c r="AV92" s="278"/>
      <c r="AW92" s="50"/>
      <c r="AX92" s="252"/>
      <c r="AY92" s="278"/>
      <c r="AZ92" s="50"/>
      <c r="BA92" s="252"/>
      <c r="BB92" s="278"/>
      <c r="BC92" s="285">
        <f t="shared" si="48"/>
        <v>31200</v>
      </c>
    </row>
    <row r="93" spans="1:55" ht="15" thickBot="1" x14ac:dyDescent="0.35">
      <c r="A93" s="194" t="s">
        <v>86</v>
      </c>
      <c r="B93" s="195" t="s">
        <v>30</v>
      </c>
      <c r="C93" s="198" t="s">
        <v>58</v>
      </c>
      <c r="D93" s="199"/>
      <c r="E93" s="143" t="s">
        <v>96</v>
      </c>
      <c r="F93" s="200" t="s">
        <v>4</v>
      </c>
      <c r="G93" s="201">
        <v>44136</v>
      </c>
      <c r="H93" s="229"/>
      <c r="I93" s="229"/>
      <c r="J93" s="316"/>
      <c r="K93" s="230" t="s">
        <v>12</v>
      </c>
      <c r="L93" s="318">
        <v>44136</v>
      </c>
      <c r="M93" s="318">
        <v>44561</v>
      </c>
      <c r="N93" s="317"/>
      <c r="O93" s="144"/>
      <c r="P93" s="144"/>
      <c r="Q93" s="203">
        <v>5200</v>
      </c>
      <c r="R93" s="195" t="s">
        <v>30</v>
      </c>
      <c r="S93" s="254">
        <v>400</v>
      </c>
      <c r="T93" s="255">
        <v>13</v>
      </c>
      <c r="U93" s="275">
        <f t="shared" si="164"/>
        <v>5200</v>
      </c>
      <c r="V93" s="254">
        <v>400</v>
      </c>
      <c r="W93" s="255">
        <v>13</v>
      </c>
      <c r="X93" s="275">
        <f t="shared" si="165"/>
        <v>5200</v>
      </c>
      <c r="Y93" s="254">
        <v>400</v>
      </c>
      <c r="Z93" s="255">
        <v>13</v>
      </c>
      <c r="AA93" s="275">
        <f t="shared" si="166"/>
        <v>5200</v>
      </c>
      <c r="AB93" s="254">
        <v>400</v>
      </c>
      <c r="AC93" s="255">
        <v>13</v>
      </c>
      <c r="AD93" s="275">
        <f t="shared" si="167"/>
        <v>5200</v>
      </c>
      <c r="AE93" s="254">
        <v>400</v>
      </c>
      <c r="AF93" s="255">
        <v>13</v>
      </c>
      <c r="AG93" s="275">
        <f t="shared" si="168"/>
        <v>5200</v>
      </c>
      <c r="AH93" s="254">
        <v>400</v>
      </c>
      <c r="AI93" s="255">
        <v>13</v>
      </c>
      <c r="AJ93" s="275">
        <f t="shared" si="169"/>
        <v>5200</v>
      </c>
      <c r="AK93" s="254">
        <v>400</v>
      </c>
      <c r="AL93" s="255">
        <v>13</v>
      </c>
      <c r="AM93" s="275">
        <f t="shared" si="170"/>
        <v>5200</v>
      </c>
      <c r="AN93" s="254">
        <v>400</v>
      </c>
      <c r="AO93" s="255">
        <v>13</v>
      </c>
      <c r="AP93" s="275">
        <f t="shared" si="171"/>
        <v>5200</v>
      </c>
      <c r="AQ93" s="254">
        <v>400</v>
      </c>
      <c r="AR93" s="255">
        <v>13</v>
      </c>
      <c r="AS93" s="275">
        <f t="shared" si="172"/>
        <v>5200</v>
      </c>
      <c r="AT93" s="254">
        <v>400</v>
      </c>
      <c r="AU93" s="255">
        <v>13</v>
      </c>
      <c r="AV93" s="275">
        <f t="shared" si="173"/>
        <v>5200</v>
      </c>
      <c r="AW93" s="254">
        <v>400</v>
      </c>
      <c r="AX93" s="255">
        <v>13</v>
      </c>
      <c r="AY93" s="275">
        <f t="shared" si="174"/>
        <v>5200</v>
      </c>
      <c r="AZ93" s="254">
        <v>400</v>
      </c>
      <c r="BA93" s="255">
        <v>13</v>
      </c>
      <c r="BB93" s="275">
        <f t="shared" si="175"/>
        <v>5200</v>
      </c>
      <c r="BC93" s="285">
        <f t="shared" si="48"/>
        <v>62400</v>
      </c>
    </row>
    <row r="94" spans="1:55" ht="15" thickBot="1" x14ac:dyDescent="0.35">
      <c r="A94" s="194" t="s">
        <v>87</v>
      </c>
      <c r="B94" s="195" t="s">
        <v>30</v>
      </c>
      <c r="C94" s="198" t="s">
        <v>58</v>
      </c>
      <c r="D94" s="199"/>
      <c r="E94" s="143" t="s">
        <v>106</v>
      </c>
      <c r="F94" s="200" t="s">
        <v>4</v>
      </c>
      <c r="G94" s="201">
        <v>44136</v>
      </c>
      <c r="H94" s="229"/>
      <c r="I94" s="229"/>
      <c r="J94" s="316">
        <v>0</v>
      </c>
      <c r="K94" s="230" t="s">
        <v>13</v>
      </c>
      <c r="L94" s="318">
        <v>44136</v>
      </c>
      <c r="M94" s="318">
        <v>44561</v>
      </c>
      <c r="N94" s="317"/>
      <c r="O94" s="144"/>
      <c r="P94" s="144"/>
      <c r="Q94" s="203">
        <v>5200</v>
      </c>
      <c r="R94" s="195" t="s">
        <v>30</v>
      </c>
      <c r="S94" s="254">
        <v>400</v>
      </c>
      <c r="T94" s="255">
        <v>13</v>
      </c>
      <c r="U94" s="280">
        <f t="shared" si="164"/>
        <v>5200</v>
      </c>
      <c r="V94" s="254">
        <v>400</v>
      </c>
      <c r="W94" s="255">
        <v>13</v>
      </c>
      <c r="X94" s="280">
        <f t="shared" si="165"/>
        <v>5200</v>
      </c>
      <c r="Y94" s="254">
        <v>400</v>
      </c>
      <c r="Z94" s="255">
        <v>13</v>
      </c>
      <c r="AA94" s="280">
        <f t="shared" si="166"/>
        <v>5200</v>
      </c>
      <c r="AB94" s="254">
        <v>400</v>
      </c>
      <c r="AC94" s="255">
        <v>13</v>
      </c>
      <c r="AD94" s="280">
        <f t="shared" si="167"/>
        <v>5200</v>
      </c>
      <c r="AE94" s="254">
        <v>400</v>
      </c>
      <c r="AF94" s="255">
        <v>13</v>
      </c>
      <c r="AG94" s="280">
        <f t="shared" si="168"/>
        <v>5200</v>
      </c>
      <c r="AH94" s="254">
        <v>400</v>
      </c>
      <c r="AI94" s="255">
        <v>13</v>
      </c>
      <c r="AJ94" s="280">
        <f t="shared" si="169"/>
        <v>5200</v>
      </c>
      <c r="AK94" s="254">
        <v>400</v>
      </c>
      <c r="AL94" s="255">
        <v>13</v>
      </c>
      <c r="AM94" s="280">
        <f t="shared" si="170"/>
        <v>5200</v>
      </c>
      <c r="AN94" s="254">
        <v>400</v>
      </c>
      <c r="AO94" s="255">
        <v>13</v>
      </c>
      <c r="AP94" s="280">
        <f t="shared" si="171"/>
        <v>5200</v>
      </c>
      <c r="AQ94" s="254">
        <v>400</v>
      </c>
      <c r="AR94" s="255">
        <v>13</v>
      </c>
      <c r="AS94" s="280">
        <f t="shared" si="172"/>
        <v>5200</v>
      </c>
      <c r="AT94" s="254">
        <v>400</v>
      </c>
      <c r="AU94" s="255">
        <v>13</v>
      </c>
      <c r="AV94" s="280">
        <f t="shared" si="173"/>
        <v>5200</v>
      </c>
      <c r="AW94" s="254">
        <v>400</v>
      </c>
      <c r="AX94" s="255">
        <v>13</v>
      </c>
      <c r="AY94" s="280">
        <f t="shared" si="174"/>
        <v>5200</v>
      </c>
      <c r="AZ94" s="254">
        <v>400</v>
      </c>
      <c r="BA94" s="255">
        <v>13</v>
      </c>
      <c r="BB94" s="280">
        <f t="shared" si="175"/>
        <v>5200</v>
      </c>
      <c r="BC94" s="285">
        <f t="shared" si="48"/>
        <v>62400</v>
      </c>
    </row>
    <row r="95" spans="1:55" ht="15" thickBot="1" x14ac:dyDescent="0.35">
      <c r="A95" s="194" t="s">
        <v>166</v>
      </c>
      <c r="B95" s="195" t="s">
        <v>30</v>
      </c>
      <c r="C95" s="198" t="s">
        <v>58</v>
      </c>
      <c r="D95" s="199"/>
      <c r="E95" s="143" t="s">
        <v>107</v>
      </c>
      <c r="F95" s="200" t="s">
        <v>4</v>
      </c>
      <c r="G95" s="201">
        <v>44136</v>
      </c>
      <c r="H95" s="229"/>
      <c r="I95" s="229"/>
      <c r="J95" s="316">
        <v>1</v>
      </c>
      <c r="K95" s="230" t="s">
        <v>13</v>
      </c>
      <c r="L95" s="318">
        <v>44136</v>
      </c>
      <c r="M95" s="318">
        <v>44561</v>
      </c>
      <c r="N95" s="317"/>
      <c r="O95" s="144"/>
      <c r="P95" s="144"/>
      <c r="Q95" s="203">
        <v>5200</v>
      </c>
      <c r="R95" s="195" t="s">
        <v>30</v>
      </c>
      <c r="S95" s="254">
        <v>400</v>
      </c>
      <c r="T95" s="255">
        <v>13</v>
      </c>
      <c r="U95" s="280">
        <f t="shared" si="164"/>
        <v>5200</v>
      </c>
      <c r="V95" s="254">
        <v>400</v>
      </c>
      <c r="W95" s="255">
        <v>13</v>
      </c>
      <c r="X95" s="280">
        <f t="shared" si="165"/>
        <v>5200</v>
      </c>
      <c r="Y95" s="254">
        <v>400</v>
      </c>
      <c r="Z95" s="255">
        <v>13</v>
      </c>
      <c r="AA95" s="280">
        <f t="shared" si="166"/>
        <v>5200</v>
      </c>
      <c r="AB95" s="254">
        <v>400</v>
      </c>
      <c r="AC95" s="255">
        <v>13</v>
      </c>
      <c r="AD95" s="280">
        <f t="shared" si="167"/>
        <v>5200</v>
      </c>
      <c r="AE95" s="50"/>
      <c r="AF95" s="252"/>
      <c r="AG95" s="278"/>
      <c r="AH95" s="50"/>
      <c r="AI95" s="252"/>
      <c r="AJ95" s="278"/>
      <c r="AK95" s="50"/>
      <c r="AL95" s="252"/>
      <c r="AM95" s="278"/>
      <c r="AN95" s="254">
        <v>400</v>
      </c>
      <c r="AO95" s="255">
        <v>13</v>
      </c>
      <c r="AP95" s="280">
        <f t="shared" si="171"/>
        <v>5200</v>
      </c>
      <c r="AQ95" s="254">
        <v>400</v>
      </c>
      <c r="AR95" s="255">
        <v>13</v>
      </c>
      <c r="AS95" s="280">
        <f t="shared" si="172"/>
        <v>5200</v>
      </c>
      <c r="AT95" s="254">
        <v>400</v>
      </c>
      <c r="AU95" s="255">
        <v>13</v>
      </c>
      <c r="AV95" s="280">
        <f t="shared" si="173"/>
        <v>5200</v>
      </c>
      <c r="AW95" s="254">
        <v>400</v>
      </c>
      <c r="AX95" s="255">
        <v>13</v>
      </c>
      <c r="AY95" s="280">
        <f t="shared" si="174"/>
        <v>5200</v>
      </c>
      <c r="AZ95" s="254">
        <v>400</v>
      </c>
      <c r="BA95" s="255">
        <v>13</v>
      </c>
      <c r="BB95" s="280">
        <f t="shared" si="175"/>
        <v>5200</v>
      </c>
      <c r="BC95" s="285">
        <f t="shared" si="48"/>
        <v>46800</v>
      </c>
    </row>
    <row r="96" spans="1:55" ht="15" thickBot="1" x14ac:dyDescent="0.35">
      <c r="A96" s="194" t="s">
        <v>89</v>
      </c>
      <c r="B96" s="195" t="s">
        <v>30</v>
      </c>
      <c r="C96" s="198" t="s">
        <v>58</v>
      </c>
      <c r="D96" s="199"/>
      <c r="E96" s="143" t="s">
        <v>103</v>
      </c>
      <c r="F96" s="200" t="s">
        <v>4</v>
      </c>
      <c r="G96" s="201">
        <v>44136</v>
      </c>
      <c r="H96" s="229"/>
      <c r="I96" s="229"/>
      <c r="J96" s="316"/>
      <c r="K96" s="230" t="s">
        <v>12</v>
      </c>
      <c r="L96" s="318">
        <v>44136</v>
      </c>
      <c r="M96" s="318">
        <v>44561</v>
      </c>
      <c r="N96" s="317"/>
      <c r="O96" s="144"/>
      <c r="P96" s="144"/>
      <c r="Q96" s="203">
        <v>5200</v>
      </c>
      <c r="R96" s="195" t="s">
        <v>30</v>
      </c>
      <c r="S96" s="254">
        <v>400</v>
      </c>
      <c r="T96" s="255">
        <v>13</v>
      </c>
      <c r="U96" s="280">
        <f t="shared" si="164"/>
        <v>5200</v>
      </c>
      <c r="V96" s="254">
        <v>400</v>
      </c>
      <c r="W96" s="255">
        <v>13</v>
      </c>
      <c r="X96" s="280">
        <f t="shared" si="165"/>
        <v>5200</v>
      </c>
      <c r="Y96" s="254">
        <v>400</v>
      </c>
      <c r="Z96" s="255">
        <v>13</v>
      </c>
      <c r="AA96" s="280">
        <f t="shared" si="166"/>
        <v>5200</v>
      </c>
      <c r="AB96" s="254">
        <v>400</v>
      </c>
      <c r="AC96" s="255">
        <v>13</v>
      </c>
      <c r="AD96" s="280">
        <f t="shared" si="167"/>
        <v>5200</v>
      </c>
      <c r="AE96" s="254">
        <v>400</v>
      </c>
      <c r="AF96" s="255">
        <v>13</v>
      </c>
      <c r="AG96" s="280">
        <f t="shared" si="168"/>
        <v>5200</v>
      </c>
      <c r="AH96" s="254">
        <v>400</v>
      </c>
      <c r="AI96" s="255">
        <v>13</v>
      </c>
      <c r="AJ96" s="280">
        <f t="shared" si="169"/>
        <v>5200</v>
      </c>
      <c r="AK96" s="254">
        <v>400</v>
      </c>
      <c r="AL96" s="255">
        <v>13</v>
      </c>
      <c r="AM96" s="280">
        <f t="shared" si="170"/>
        <v>5200</v>
      </c>
      <c r="AN96" s="254">
        <v>400</v>
      </c>
      <c r="AO96" s="255">
        <v>13</v>
      </c>
      <c r="AP96" s="280">
        <f t="shared" si="171"/>
        <v>5200</v>
      </c>
      <c r="AQ96" s="254">
        <v>400</v>
      </c>
      <c r="AR96" s="255">
        <v>13</v>
      </c>
      <c r="AS96" s="280">
        <f t="shared" si="172"/>
        <v>5200</v>
      </c>
      <c r="AT96" s="254">
        <v>400</v>
      </c>
      <c r="AU96" s="255">
        <v>13</v>
      </c>
      <c r="AV96" s="280">
        <f t="shared" si="173"/>
        <v>5200</v>
      </c>
      <c r="AW96" s="254">
        <v>400</v>
      </c>
      <c r="AX96" s="255">
        <v>13</v>
      </c>
      <c r="AY96" s="280">
        <f t="shared" si="174"/>
        <v>5200</v>
      </c>
      <c r="AZ96" s="254">
        <v>400</v>
      </c>
      <c r="BA96" s="255">
        <v>13</v>
      </c>
      <c r="BB96" s="280">
        <f t="shared" si="175"/>
        <v>5200</v>
      </c>
      <c r="BC96" s="285">
        <f t="shared" si="48"/>
        <v>62400</v>
      </c>
    </row>
    <row r="97" spans="1:55" ht="15" thickBot="1" x14ac:dyDescent="0.35">
      <c r="A97" s="194" t="s">
        <v>150</v>
      </c>
      <c r="B97" s="195" t="s">
        <v>30</v>
      </c>
      <c r="C97" s="198" t="s">
        <v>58</v>
      </c>
      <c r="D97" s="199"/>
      <c r="E97" s="143" t="s">
        <v>151</v>
      </c>
      <c r="F97" s="200" t="s">
        <v>4</v>
      </c>
      <c r="G97" s="201">
        <v>44287</v>
      </c>
      <c r="H97" s="229"/>
      <c r="I97" s="229"/>
      <c r="J97" s="316"/>
      <c r="K97" s="230" t="s">
        <v>12</v>
      </c>
      <c r="L97" s="201">
        <v>44287</v>
      </c>
      <c r="M97" s="318">
        <v>44561</v>
      </c>
      <c r="N97" s="317"/>
      <c r="O97" s="144"/>
      <c r="P97" s="144"/>
      <c r="Q97" s="203">
        <v>5200</v>
      </c>
      <c r="R97" s="195" t="s">
        <v>30</v>
      </c>
      <c r="S97" s="50"/>
      <c r="T97" s="252"/>
      <c r="U97" s="278"/>
      <c r="V97" s="50"/>
      <c r="W97" s="252"/>
      <c r="X97" s="278"/>
      <c r="Y97" s="50"/>
      <c r="Z97" s="252"/>
      <c r="AA97" s="278"/>
      <c r="AB97" s="254">
        <v>400</v>
      </c>
      <c r="AC97" s="255">
        <v>13</v>
      </c>
      <c r="AD97" s="280">
        <f t="shared" si="167"/>
        <v>5200</v>
      </c>
      <c r="AE97" s="254">
        <v>400</v>
      </c>
      <c r="AF97" s="255">
        <v>13</v>
      </c>
      <c r="AG97" s="280">
        <f t="shared" si="168"/>
        <v>5200</v>
      </c>
      <c r="AH97" s="254">
        <v>400</v>
      </c>
      <c r="AI97" s="255">
        <v>13</v>
      </c>
      <c r="AJ97" s="280">
        <f t="shared" si="169"/>
        <v>5200</v>
      </c>
      <c r="AK97" s="254">
        <v>400</v>
      </c>
      <c r="AL97" s="255">
        <v>13</v>
      </c>
      <c r="AM97" s="280">
        <f t="shared" si="170"/>
        <v>5200</v>
      </c>
      <c r="AN97" s="254">
        <v>400</v>
      </c>
      <c r="AO97" s="255">
        <v>13</v>
      </c>
      <c r="AP97" s="280">
        <f t="shared" si="171"/>
        <v>5200</v>
      </c>
      <c r="AQ97" s="254">
        <v>400</v>
      </c>
      <c r="AR97" s="255">
        <v>13</v>
      </c>
      <c r="AS97" s="280">
        <f t="shared" si="172"/>
        <v>5200</v>
      </c>
      <c r="AT97" s="254">
        <v>400</v>
      </c>
      <c r="AU97" s="255">
        <v>13</v>
      </c>
      <c r="AV97" s="280">
        <f t="shared" si="173"/>
        <v>5200</v>
      </c>
      <c r="AW97" s="254">
        <v>400</v>
      </c>
      <c r="AX97" s="255">
        <v>13</v>
      </c>
      <c r="AY97" s="280">
        <f t="shared" si="174"/>
        <v>5200</v>
      </c>
      <c r="AZ97" s="50"/>
      <c r="BA97" s="252"/>
      <c r="BB97" s="278"/>
      <c r="BC97" s="285">
        <f t="shared" si="48"/>
        <v>41600</v>
      </c>
    </row>
    <row r="98" spans="1:55" ht="15" thickBot="1" x14ac:dyDescent="0.35">
      <c r="A98" s="194" t="s">
        <v>90</v>
      </c>
      <c r="B98" s="195" t="s">
        <v>30</v>
      </c>
      <c r="C98" s="198" t="s">
        <v>58</v>
      </c>
      <c r="D98" s="199"/>
      <c r="E98" s="143" t="s">
        <v>97</v>
      </c>
      <c r="F98" s="200" t="s">
        <v>4</v>
      </c>
      <c r="G98" s="201">
        <v>44136</v>
      </c>
      <c r="H98" s="229"/>
      <c r="I98" s="229"/>
      <c r="J98" s="316"/>
      <c r="K98" s="230" t="s">
        <v>12</v>
      </c>
      <c r="L98" s="318">
        <v>44136</v>
      </c>
      <c r="M98" s="318">
        <v>44561</v>
      </c>
      <c r="N98" s="317"/>
      <c r="O98" s="144"/>
      <c r="P98" s="144"/>
      <c r="Q98" s="203">
        <v>5200</v>
      </c>
      <c r="R98" s="195" t="s">
        <v>30</v>
      </c>
      <c r="S98" s="254">
        <v>400</v>
      </c>
      <c r="T98" s="255">
        <v>13</v>
      </c>
      <c r="U98" s="280">
        <f t="shared" si="164"/>
        <v>5200</v>
      </c>
      <c r="V98" s="254">
        <v>400</v>
      </c>
      <c r="W98" s="255">
        <v>13</v>
      </c>
      <c r="X98" s="280">
        <f t="shared" si="165"/>
        <v>5200</v>
      </c>
      <c r="Y98" s="254">
        <v>400</v>
      </c>
      <c r="Z98" s="255">
        <v>13</v>
      </c>
      <c r="AA98" s="280">
        <f t="shared" si="166"/>
        <v>5200</v>
      </c>
      <c r="AB98" s="254">
        <v>400</v>
      </c>
      <c r="AC98" s="255">
        <v>13</v>
      </c>
      <c r="AD98" s="280">
        <f t="shared" si="167"/>
        <v>5200</v>
      </c>
      <c r="AE98" s="254">
        <v>400</v>
      </c>
      <c r="AF98" s="255">
        <v>13</v>
      </c>
      <c r="AG98" s="280">
        <f t="shared" si="168"/>
        <v>5200</v>
      </c>
      <c r="AH98" s="254">
        <v>400</v>
      </c>
      <c r="AI98" s="255">
        <v>13</v>
      </c>
      <c r="AJ98" s="280">
        <f t="shared" si="169"/>
        <v>5200</v>
      </c>
      <c r="AK98" s="254">
        <v>400</v>
      </c>
      <c r="AL98" s="255">
        <v>13</v>
      </c>
      <c r="AM98" s="280">
        <f t="shared" si="170"/>
        <v>5200</v>
      </c>
      <c r="AN98" s="254">
        <v>400</v>
      </c>
      <c r="AO98" s="255">
        <v>13</v>
      </c>
      <c r="AP98" s="280">
        <f t="shared" si="171"/>
        <v>5200</v>
      </c>
      <c r="AQ98" s="254">
        <v>400</v>
      </c>
      <c r="AR98" s="255">
        <v>13</v>
      </c>
      <c r="AS98" s="280">
        <f t="shared" si="172"/>
        <v>5200</v>
      </c>
      <c r="AT98" s="254">
        <v>400</v>
      </c>
      <c r="AU98" s="255">
        <v>13</v>
      </c>
      <c r="AV98" s="280">
        <f t="shared" si="173"/>
        <v>5200</v>
      </c>
      <c r="AW98" s="254">
        <v>400</v>
      </c>
      <c r="AX98" s="255">
        <v>13</v>
      </c>
      <c r="AY98" s="280">
        <f t="shared" si="174"/>
        <v>5200</v>
      </c>
      <c r="AZ98" s="254">
        <v>400</v>
      </c>
      <c r="BA98" s="255">
        <v>13</v>
      </c>
      <c r="BB98" s="280">
        <f t="shared" si="175"/>
        <v>5200</v>
      </c>
      <c r="BC98" s="285">
        <f t="shared" si="48"/>
        <v>62400</v>
      </c>
    </row>
    <row r="99" spans="1:55" ht="15" thickBot="1" x14ac:dyDescent="0.35">
      <c r="A99" s="194" t="s">
        <v>169</v>
      </c>
      <c r="B99" s="195" t="s">
        <v>30</v>
      </c>
      <c r="C99" s="198" t="s">
        <v>58</v>
      </c>
      <c r="D99" s="199"/>
      <c r="E99" s="143" t="s">
        <v>97</v>
      </c>
      <c r="F99" s="200" t="s">
        <v>4</v>
      </c>
      <c r="G99" s="201">
        <v>44531</v>
      </c>
      <c r="H99" s="229"/>
      <c r="I99" s="229"/>
      <c r="J99" s="316"/>
      <c r="K99" s="230" t="s">
        <v>12</v>
      </c>
      <c r="L99" s="318">
        <v>44531</v>
      </c>
      <c r="M99" s="318">
        <v>44561</v>
      </c>
      <c r="N99" s="317"/>
      <c r="O99" s="144"/>
      <c r="P99" s="144"/>
      <c r="Q99" s="203">
        <v>5200</v>
      </c>
      <c r="R99" s="195" t="s">
        <v>30</v>
      </c>
      <c r="S99" s="50"/>
      <c r="T99" s="252"/>
      <c r="U99" s="278"/>
      <c r="V99" s="50"/>
      <c r="W99" s="252"/>
      <c r="X99" s="278"/>
      <c r="Y99" s="50"/>
      <c r="Z99" s="252"/>
      <c r="AA99" s="278"/>
      <c r="AB99" s="50"/>
      <c r="AC99" s="252"/>
      <c r="AD99" s="278"/>
      <c r="AE99" s="50"/>
      <c r="AF99" s="252"/>
      <c r="AG99" s="278"/>
      <c r="AH99" s="50"/>
      <c r="AI99" s="252"/>
      <c r="AJ99" s="278"/>
      <c r="AK99" s="50"/>
      <c r="AL99" s="252"/>
      <c r="AM99" s="278"/>
      <c r="AN99" s="50"/>
      <c r="AO99" s="252"/>
      <c r="AP99" s="278"/>
      <c r="AQ99" s="50"/>
      <c r="AR99" s="252"/>
      <c r="AS99" s="278"/>
      <c r="AT99" s="50"/>
      <c r="AU99" s="252"/>
      <c r="AV99" s="278"/>
      <c r="AW99" s="50"/>
      <c r="AX99" s="252"/>
      <c r="AY99" s="278"/>
      <c r="AZ99" s="254">
        <v>400</v>
      </c>
      <c r="BA99" s="255">
        <v>13</v>
      </c>
      <c r="BB99" s="280">
        <f t="shared" ref="BB99" si="180">AZ99*BA99</f>
        <v>5200</v>
      </c>
      <c r="BC99" s="285">
        <f t="shared" si="48"/>
        <v>5200</v>
      </c>
    </row>
    <row r="100" spans="1:55" ht="15" thickBot="1" x14ac:dyDescent="0.35">
      <c r="A100" s="462" t="s">
        <v>138</v>
      </c>
      <c r="B100" s="195" t="s">
        <v>32</v>
      </c>
      <c r="C100" s="198" t="s">
        <v>58</v>
      </c>
      <c r="D100" s="199"/>
      <c r="E100" s="143" t="s">
        <v>97</v>
      </c>
      <c r="F100" s="449" t="s">
        <v>5</v>
      </c>
      <c r="G100" s="201">
        <v>44197</v>
      </c>
      <c r="H100" s="229"/>
      <c r="I100" s="229"/>
      <c r="J100" s="316">
        <v>2</v>
      </c>
      <c r="K100" s="230" t="s">
        <v>12</v>
      </c>
      <c r="L100" s="318">
        <v>44197</v>
      </c>
      <c r="M100" s="318">
        <v>44561</v>
      </c>
      <c r="N100" s="317"/>
      <c r="O100" s="144"/>
      <c r="P100" s="144"/>
      <c r="Q100" s="448">
        <v>15200</v>
      </c>
      <c r="R100" s="204" t="s">
        <v>32</v>
      </c>
      <c r="S100" s="254">
        <v>400</v>
      </c>
      <c r="T100" s="255">
        <v>38</v>
      </c>
      <c r="U100" s="280">
        <f t="shared" si="164"/>
        <v>15200</v>
      </c>
      <c r="V100" s="254">
        <v>400</v>
      </c>
      <c r="W100" s="255">
        <v>38</v>
      </c>
      <c r="X100" s="280">
        <f t="shared" si="165"/>
        <v>15200</v>
      </c>
      <c r="Y100" s="254">
        <v>400</v>
      </c>
      <c r="Z100" s="255">
        <v>38</v>
      </c>
      <c r="AA100" s="280">
        <f t="shared" si="166"/>
        <v>15200</v>
      </c>
      <c r="AB100" s="254">
        <v>400</v>
      </c>
      <c r="AC100" s="255">
        <v>38</v>
      </c>
      <c r="AD100" s="280">
        <f t="shared" si="167"/>
        <v>15200</v>
      </c>
      <c r="AE100" s="254">
        <v>400</v>
      </c>
      <c r="AF100" s="255">
        <v>38</v>
      </c>
      <c r="AG100" s="280">
        <f t="shared" si="168"/>
        <v>15200</v>
      </c>
      <c r="AH100" s="254">
        <v>400</v>
      </c>
      <c r="AI100" s="255">
        <v>38</v>
      </c>
      <c r="AJ100" s="280">
        <f t="shared" si="169"/>
        <v>15200</v>
      </c>
      <c r="AK100" s="254">
        <v>400</v>
      </c>
      <c r="AL100" s="255">
        <v>38</v>
      </c>
      <c r="AM100" s="280">
        <f t="shared" si="170"/>
        <v>15200</v>
      </c>
      <c r="AN100" s="254">
        <v>400</v>
      </c>
      <c r="AO100" s="255">
        <v>38</v>
      </c>
      <c r="AP100" s="280">
        <f t="shared" si="171"/>
        <v>15200</v>
      </c>
      <c r="AQ100" s="254">
        <v>400</v>
      </c>
      <c r="AR100" s="255">
        <v>38</v>
      </c>
      <c r="AS100" s="280">
        <f t="shared" si="172"/>
        <v>15200</v>
      </c>
      <c r="AT100" s="254">
        <v>400</v>
      </c>
      <c r="AU100" s="255">
        <v>38</v>
      </c>
      <c r="AV100" s="280">
        <f t="shared" si="173"/>
        <v>15200</v>
      </c>
      <c r="AW100" s="254">
        <v>400</v>
      </c>
      <c r="AX100" s="255">
        <v>38</v>
      </c>
      <c r="AY100" s="280">
        <f t="shared" si="174"/>
        <v>15200</v>
      </c>
      <c r="AZ100" s="254">
        <v>400</v>
      </c>
      <c r="BA100" s="255">
        <v>38</v>
      </c>
      <c r="BB100" s="280">
        <f t="shared" si="175"/>
        <v>15200</v>
      </c>
      <c r="BC100" s="285">
        <f t="shared" si="48"/>
        <v>182400</v>
      </c>
    </row>
    <row r="101" spans="1:55" ht="15" thickBot="1" x14ac:dyDescent="0.35">
      <c r="A101" s="194" t="s">
        <v>139</v>
      </c>
      <c r="B101" s="195" t="s">
        <v>32</v>
      </c>
      <c r="C101" s="198" t="s">
        <v>58</v>
      </c>
      <c r="D101" s="199"/>
      <c r="E101" s="143" t="s">
        <v>99</v>
      </c>
      <c r="F101" s="200" t="s">
        <v>4</v>
      </c>
      <c r="G101" s="201">
        <v>44197</v>
      </c>
      <c r="H101" s="229"/>
      <c r="I101" s="229"/>
      <c r="J101" s="316"/>
      <c r="K101" s="230" t="s">
        <v>12</v>
      </c>
      <c r="L101" s="318">
        <v>44197</v>
      </c>
      <c r="M101" s="318">
        <v>44561</v>
      </c>
      <c r="N101" s="317"/>
      <c r="O101" s="144"/>
      <c r="P101" s="144"/>
      <c r="Q101" s="203">
        <v>6000</v>
      </c>
      <c r="R101" s="204" t="s">
        <v>32</v>
      </c>
      <c r="S101" s="254">
        <v>400</v>
      </c>
      <c r="T101" s="255">
        <v>15</v>
      </c>
      <c r="U101" s="280">
        <f t="shared" si="164"/>
        <v>6000</v>
      </c>
      <c r="V101" s="254">
        <v>400</v>
      </c>
      <c r="W101" s="255">
        <v>15</v>
      </c>
      <c r="X101" s="280">
        <f t="shared" si="165"/>
        <v>6000</v>
      </c>
      <c r="Y101" s="254">
        <v>400</v>
      </c>
      <c r="Z101" s="255">
        <v>15</v>
      </c>
      <c r="AA101" s="280">
        <f t="shared" si="166"/>
        <v>6000</v>
      </c>
      <c r="AB101" s="254">
        <v>400</v>
      </c>
      <c r="AC101" s="255">
        <v>15</v>
      </c>
      <c r="AD101" s="280">
        <f t="shared" si="167"/>
        <v>6000</v>
      </c>
      <c r="AE101" s="254">
        <v>400</v>
      </c>
      <c r="AF101" s="255">
        <v>15</v>
      </c>
      <c r="AG101" s="280">
        <f t="shared" si="168"/>
        <v>6000</v>
      </c>
      <c r="AH101" s="254">
        <v>400</v>
      </c>
      <c r="AI101" s="255">
        <v>15</v>
      </c>
      <c r="AJ101" s="280">
        <f t="shared" si="169"/>
        <v>6000</v>
      </c>
      <c r="AK101" s="254">
        <v>400</v>
      </c>
      <c r="AL101" s="255">
        <v>15</v>
      </c>
      <c r="AM101" s="280">
        <f t="shared" si="170"/>
        <v>6000</v>
      </c>
      <c r="AN101" s="254">
        <v>400</v>
      </c>
      <c r="AO101" s="255">
        <v>15</v>
      </c>
      <c r="AP101" s="280">
        <f t="shared" si="171"/>
        <v>6000</v>
      </c>
      <c r="AQ101" s="254">
        <v>400</v>
      </c>
      <c r="AR101" s="255">
        <v>15</v>
      </c>
      <c r="AS101" s="280">
        <f t="shared" si="172"/>
        <v>6000</v>
      </c>
      <c r="AT101" s="254">
        <v>400</v>
      </c>
      <c r="AU101" s="255">
        <v>15</v>
      </c>
      <c r="AV101" s="280">
        <f t="shared" si="173"/>
        <v>6000</v>
      </c>
      <c r="AW101" s="254">
        <v>400</v>
      </c>
      <c r="AX101" s="255">
        <v>15</v>
      </c>
      <c r="AY101" s="280">
        <f t="shared" si="174"/>
        <v>6000</v>
      </c>
      <c r="AZ101" s="254">
        <v>400</v>
      </c>
      <c r="BA101" s="255">
        <v>15</v>
      </c>
      <c r="BB101" s="280">
        <f t="shared" si="175"/>
        <v>6000</v>
      </c>
      <c r="BC101" s="285">
        <f t="shared" ref="BC101:BC103" si="181">SUM(U101,X101,AA101,AD101,AG101,AJ101,AM101,AP101,AS101,AV101,AY101,BB101)</f>
        <v>72000</v>
      </c>
    </row>
    <row r="102" spans="1:55" ht="15" thickBot="1" x14ac:dyDescent="0.35">
      <c r="A102" s="194" t="s">
        <v>143</v>
      </c>
      <c r="B102" s="195" t="s">
        <v>32</v>
      </c>
      <c r="C102" s="198" t="s">
        <v>58</v>
      </c>
      <c r="D102" s="199"/>
      <c r="E102" s="143" t="s">
        <v>96</v>
      </c>
      <c r="F102" s="200" t="s">
        <v>4</v>
      </c>
      <c r="G102" s="201">
        <v>44197</v>
      </c>
      <c r="H102" s="229"/>
      <c r="I102" s="229"/>
      <c r="J102" s="316">
        <v>1</v>
      </c>
      <c r="K102" s="230" t="s">
        <v>12</v>
      </c>
      <c r="L102" s="318">
        <v>44197</v>
      </c>
      <c r="M102" s="318">
        <v>44561</v>
      </c>
      <c r="N102" s="317"/>
      <c r="O102" s="144"/>
      <c r="P102" s="144"/>
      <c r="Q102" s="203">
        <v>10000</v>
      </c>
      <c r="R102" s="204" t="s">
        <v>32</v>
      </c>
      <c r="S102" s="254">
        <v>400</v>
      </c>
      <c r="T102" s="255">
        <v>25</v>
      </c>
      <c r="U102" s="280">
        <f t="shared" si="164"/>
        <v>10000</v>
      </c>
      <c r="V102" s="254">
        <v>400</v>
      </c>
      <c r="W102" s="255">
        <v>25</v>
      </c>
      <c r="X102" s="280">
        <f t="shared" si="165"/>
        <v>10000</v>
      </c>
      <c r="Y102" s="254">
        <v>400</v>
      </c>
      <c r="Z102" s="255">
        <v>25</v>
      </c>
      <c r="AA102" s="280">
        <f t="shared" si="166"/>
        <v>10000</v>
      </c>
      <c r="AB102" s="254">
        <v>400</v>
      </c>
      <c r="AC102" s="255">
        <v>25</v>
      </c>
      <c r="AD102" s="280">
        <f t="shared" si="167"/>
        <v>10000</v>
      </c>
      <c r="AE102" s="254">
        <v>400</v>
      </c>
      <c r="AF102" s="255">
        <v>25</v>
      </c>
      <c r="AG102" s="280">
        <f t="shared" si="168"/>
        <v>10000</v>
      </c>
      <c r="AH102" s="254">
        <v>400</v>
      </c>
      <c r="AI102" s="255">
        <v>25</v>
      </c>
      <c r="AJ102" s="280">
        <f t="shared" si="169"/>
        <v>10000</v>
      </c>
      <c r="AK102" s="254">
        <v>400</v>
      </c>
      <c r="AL102" s="255">
        <v>25</v>
      </c>
      <c r="AM102" s="280">
        <f t="shared" si="170"/>
        <v>10000</v>
      </c>
      <c r="AN102" s="254">
        <v>400</v>
      </c>
      <c r="AO102" s="255">
        <v>25</v>
      </c>
      <c r="AP102" s="280">
        <f t="shared" si="171"/>
        <v>10000</v>
      </c>
      <c r="AQ102" s="254">
        <v>400</v>
      </c>
      <c r="AR102" s="255">
        <v>25</v>
      </c>
      <c r="AS102" s="280">
        <f t="shared" si="172"/>
        <v>10000</v>
      </c>
      <c r="AT102" s="254">
        <v>400</v>
      </c>
      <c r="AU102" s="255">
        <v>25</v>
      </c>
      <c r="AV102" s="280">
        <f t="shared" si="173"/>
        <v>10000</v>
      </c>
      <c r="AW102" s="254">
        <v>400</v>
      </c>
      <c r="AX102" s="255">
        <v>25</v>
      </c>
      <c r="AY102" s="280">
        <f t="shared" si="174"/>
        <v>10000</v>
      </c>
      <c r="AZ102" s="254">
        <v>400</v>
      </c>
      <c r="BA102" s="255">
        <v>24</v>
      </c>
      <c r="BB102" s="280">
        <f t="shared" si="175"/>
        <v>9600</v>
      </c>
      <c r="BC102" s="285">
        <f t="shared" si="181"/>
        <v>119600</v>
      </c>
    </row>
    <row r="103" spans="1:55" ht="15" thickBot="1" x14ac:dyDescent="0.35">
      <c r="A103" s="194" t="s">
        <v>140</v>
      </c>
      <c r="B103" s="195" t="s">
        <v>32</v>
      </c>
      <c r="C103" s="198" t="s">
        <v>58</v>
      </c>
      <c r="D103" s="199"/>
      <c r="E103" s="143" t="s">
        <v>99</v>
      </c>
      <c r="F103" s="200" t="s">
        <v>4</v>
      </c>
      <c r="G103" s="201">
        <v>44197</v>
      </c>
      <c r="H103" s="229"/>
      <c r="I103" s="229"/>
      <c r="J103" s="316"/>
      <c r="K103" s="230" t="s">
        <v>12</v>
      </c>
      <c r="L103" s="318">
        <v>44197</v>
      </c>
      <c r="M103" s="318">
        <v>44561</v>
      </c>
      <c r="N103" s="317"/>
      <c r="O103" s="144"/>
      <c r="P103" s="144"/>
      <c r="Q103" s="203">
        <v>6000</v>
      </c>
      <c r="R103" s="204" t="s">
        <v>32</v>
      </c>
      <c r="S103" s="254">
        <v>400</v>
      </c>
      <c r="T103" s="255">
        <v>15</v>
      </c>
      <c r="U103" s="280">
        <f t="shared" si="164"/>
        <v>6000</v>
      </c>
      <c r="V103" s="254">
        <v>400</v>
      </c>
      <c r="W103" s="255">
        <v>15</v>
      </c>
      <c r="X103" s="280">
        <f t="shared" si="165"/>
        <v>6000</v>
      </c>
      <c r="Y103" s="254">
        <v>400</v>
      </c>
      <c r="Z103" s="255">
        <v>15</v>
      </c>
      <c r="AA103" s="280">
        <f t="shared" si="166"/>
        <v>6000</v>
      </c>
      <c r="AB103" s="254">
        <v>400</v>
      </c>
      <c r="AC103" s="255">
        <v>15</v>
      </c>
      <c r="AD103" s="280">
        <f t="shared" si="167"/>
        <v>6000</v>
      </c>
      <c r="AE103" s="254">
        <v>400</v>
      </c>
      <c r="AF103" s="255">
        <v>15</v>
      </c>
      <c r="AG103" s="280">
        <f t="shared" si="168"/>
        <v>6000</v>
      </c>
      <c r="AH103" s="254">
        <v>400</v>
      </c>
      <c r="AI103" s="255">
        <v>15</v>
      </c>
      <c r="AJ103" s="280">
        <f t="shared" si="169"/>
        <v>6000</v>
      </c>
      <c r="AK103" s="254">
        <v>400</v>
      </c>
      <c r="AL103" s="255">
        <v>15</v>
      </c>
      <c r="AM103" s="280">
        <f t="shared" si="170"/>
        <v>6000</v>
      </c>
      <c r="AN103" s="254">
        <v>400</v>
      </c>
      <c r="AO103" s="255">
        <v>15</v>
      </c>
      <c r="AP103" s="280">
        <f t="shared" si="171"/>
        <v>6000</v>
      </c>
      <c r="AQ103" s="254">
        <v>400</v>
      </c>
      <c r="AR103" s="255">
        <v>15</v>
      </c>
      <c r="AS103" s="280">
        <f t="shared" si="172"/>
        <v>6000</v>
      </c>
      <c r="AT103" s="254">
        <v>400</v>
      </c>
      <c r="AU103" s="255">
        <v>15</v>
      </c>
      <c r="AV103" s="280">
        <f t="shared" si="173"/>
        <v>6000</v>
      </c>
      <c r="AW103" s="254">
        <v>400</v>
      </c>
      <c r="AX103" s="255">
        <v>15</v>
      </c>
      <c r="AY103" s="280">
        <f t="shared" si="174"/>
        <v>6000</v>
      </c>
      <c r="AZ103" s="254">
        <v>400</v>
      </c>
      <c r="BA103" s="255">
        <v>15</v>
      </c>
      <c r="BB103" s="280">
        <f t="shared" si="175"/>
        <v>6000</v>
      </c>
      <c r="BC103" s="285">
        <f t="shared" si="181"/>
        <v>72000</v>
      </c>
    </row>
    <row r="104" spans="1:55" ht="15" thickBot="1" x14ac:dyDescent="0.35">
      <c r="A104" s="462" t="s">
        <v>75</v>
      </c>
      <c r="B104" s="195" t="s">
        <v>32</v>
      </c>
      <c r="C104" s="198" t="s">
        <v>58</v>
      </c>
      <c r="D104" s="199"/>
      <c r="E104" s="143" t="s">
        <v>99</v>
      </c>
      <c r="F104" s="449" t="s">
        <v>5</v>
      </c>
      <c r="G104" s="201">
        <v>44197</v>
      </c>
      <c r="H104" s="229"/>
      <c r="I104" s="229"/>
      <c r="J104" s="316"/>
      <c r="K104" s="230" t="s">
        <v>12</v>
      </c>
      <c r="L104" s="318">
        <v>44197</v>
      </c>
      <c r="M104" s="318">
        <v>44561</v>
      </c>
      <c r="N104" s="317"/>
      <c r="O104" s="144"/>
      <c r="P104" s="144"/>
      <c r="Q104" s="448">
        <v>20000</v>
      </c>
      <c r="R104" s="204" t="s">
        <v>32</v>
      </c>
      <c r="S104" s="254">
        <v>400</v>
      </c>
      <c r="T104" s="255">
        <v>50</v>
      </c>
      <c r="U104" s="280">
        <f>S104*T104</f>
        <v>20000</v>
      </c>
      <c r="V104" s="254">
        <v>400</v>
      </c>
      <c r="W104" s="255">
        <v>50</v>
      </c>
      <c r="X104" s="280">
        <f t="shared" si="165"/>
        <v>20000</v>
      </c>
      <c r="Y104" s="254">
        <v>400</v>
      </c>
      <c r="Z104" s="255">
        <v>50</v>
      </c>
      <c r="AA104" s="280">
        <f t="shared" si="166"/>
        <v>20000</v>
      </c>
      <c r="AB104" s="254">
        <v>400</v>
      </c>
      <c r="AC104" s="255">
        <v>50</v>
      </c>
      <c r="AD104" s="280">
        <f t="shared" si="167"/>
        <v>20000</v>
      </c>
      <c r="AE104" s="254">
        <v>400</v>
      </c>
      <c r="AF104" s="255">
        <v>50</v>
      </c>
      <c r="AG104" s="280">
        <f t="shared" si="168"/>
        <v>20000</v>
      </c>
      <c r="AH104" s="254">
        <v>400</v>
      </c>
      <c r="AI104" s="255">
        <v>50</v>
      </c>
      <c r="AJ104" s="280">
        <f t="shared" si="169"/>
        <v>20000</v>
      </c>
      <c r="AK104" s="254">
        <v>400</v>
      </c>
      <c r="AL104" s="255">
        <v>50</v>
      </c>
      <c r="AM104" s="280">
        <f t="shared" si="170"/>
        <v>20000</v>
      </c>
      <c r="AN104" s="254">
        <v>400</v>
      </c>
      <c r="AO104" s="255">
        <v>50</v>
      </c>
      <c r="AP104" s="280">
        <f t="shared" si="171"/>
        <v>20000</v>
      </c>
      <c r="AQ104" s="254">
        <v>400</v>
      </c>
      <c r="AR104" s="255">
        <v>50</v>
      </c>
      <c r="AS104" s="280">
        <f t="shared" si="172"/>
        <v>20000</v>
      </c>
      <c r="AT104" s="254">
        <v>400</v>
      </c>
      <c r="AU104" s="255">
        <v>50</v>
      </c>
      <c r="AV104" s="280">
        <f t="shared" si="173"/>
        <v>20000</v>
      </c>
      <c r="AW104" s="254">
        <v>400</v>
      </c>
      <c r="AX104" s="255">
        <v>50</v>
      </c>
      <c r="AY104" s="280">
        <f t="shared" si="174"/>
        <v>20000</v>
      </c>
      <c r="AZ104" s="254">
        <v>400</v>
      </c>
      <c r="BA104" s="255">
        <v>50</v>
      </c>
      <c r="BB104" s="280">
        <f t="shared" si="175"/>
        <v>20000</v>
      </c>
      <c r="BC104" s="285">
        <f>SUM(U104,X104,AA104,AD104,AG104,AJ104,AM104,AP104,AS104,AV104,AY104,BB104)</f>
        <v>240000</v>
      </c>
    </row>
    <row r="105" spans="1:55" ht="15" thickBot="1" x14ac:dyDescent="0.35">
      <c r="A105" s="194" t="s">
        <v>141</v>
      </c>
      <c r="B105" s="195" t="s">
        <v>32</v>
      </c>
      <c r="C105" s="198" t="s">
        <v>58</v>
      </c>
      <c r="D105" s="199"/>
      <c r="E105" s="143" t="s">
        <v>97</v>
      </c>
      <c r="F105" s="200" t="s">
        <v>4</v>
      </c>
      <c r="G105" s="201">
        <v>44197</v>
      </c>
      <c r="H105" s="229"/>
      <c r="I105" s="229"/>
      <c r="J105" s="316">
        <v>2</v>
      </c>
      <c r="K105" s="230" t="s">
        <v>12</v>
      </c>
      <c r="L105" s="318">
        <v>44197</v>
      </c>
      <c r="M105" s="318">
        <v>44561</v>
      </c>
      <c r="N105" s="317"/>
      <c r="O105" s="144"/>
      <c r="P105" s="144"/>
      <c r="Q105" s="203">
        <v>10000</v>
      </c>
      <c r="R105" s="204" t="s">
        <v>32</v>
      </c>
      <c r="S105" s="254">
        <v>400</v>
      </c>
      <c r="T105" s="255">
        <v>25</v>
      </c>
      <c r="U105" s="280">
        <f t="shared" ref="U105:U107" si="182">S105*T105</f>
        <v>10000</v>
      </c>
      <c r="V105" s="254">
        <v>400</v>
      </c>
      <c r="W105" s="255">
        <v>25</v>
      </c>
      <c r="X105" s="280">
        <f t="shared" si="165"/>
        <v>10000</v>
      </c>
      <c r="Y105" s="254">
        <v>400</v>
      </c>
      <c r="Z105" s="255">
        <v>25</v>
      </c>
      <c r="AA105" s="280">
        <f t="shared" si="166"/>
        <v>10000</v>
      </c>
      <c r="AB105" s="254">
        <v>400</v>
      </c>
      <c r="AC105" s="255">
        <v>25</v>
      </c>
      <c r="AD105" s="280">
        <f t="shared" si="167"/>
        <v>10000</v>
      </c>
      <c r="AE105" s="254">
        <v>400</v>
      </c>
      <c r="AF105" s="255">
        <v>25</v>
      </c>
      <c r="AG105" s="280">
        <f t="shared" si="168"/>
        <v>10000</v>
      </c>
      <c r="AH105" s="254">
        <v>400</v>
      </c>
      <c r="AI105" s="255">
        <v>25</v>
      </c>
      <c r="AJ105" s="280">
        <f t="shared" si="169"/>
        <v>10000</v>
      </c>
      <c r="AK105" s="254">
        <v>400</v>
      </c>
      <c r="AL105" s="255">
        <v>25</v>
      </c>
      <c r="AM105" s="280">
        <f t="shared" si="170"/>
        <v>10000</v>
      </c>
      <c r="AN105" s="254">
        <v>400</v>
      </c>
      <c r="AO105" s="255">
        <v>25</v>
      </c>
      <c r="AP105" s="280">
        <f t="shared" si="171"/>
        <v>10000</v>
      </c>
      <c r="AQ105" s="254">
        <v>400</v>
      </c>
      <c r="AR105" s="255">
        <v>25</v>
      </c>
      <c r="AS105" s="280">
        <f t="shared" si="172"/>
        <v>10000</v>
      </c>
      <c r="AT105" s="254">
        <v>400</v>
      </c>
      <c r="AU105" s="255">
        <v>25</v>
      </c>
      <c r="AV105" s="280">
        <f t="shared" si="173"/>
        <v>10000</v>
      </c>
      <c r="AW105" s="254">
        <v>400</v>
      </c>
      <c r="AX105" s="255">
        <v>25</v>
      </c>
      <c r="AY105" s="280">
        <f t="shared" si="174"/>
        <v>10000</v>
      </c>
      <c r="AZ105" s="254">
        <v>400</v>
      </c>
      <c r="BA105" s="255">
        <v>25</v>
      </c>
      <c r="BB105" s="280">
        <f t="shared" si="175"/>
        <v>10000</v>
      </c>
      <c r="BC105" s="285">
        <f t="shared" ref="BC105:BC106" si="183">SUM(U105,X105,AA105,AD105,AG105,AJ105,AM105,AP105,AS105,AV105,AY105,BB105)</f>
        <v>120000</v>
      </c>
    </row>
    <row r="106" spans="1:55" ht="15" thickBot="1" x14ac:dyDescent="0.35">
      <c r="A106" s="194" t="s">
        <v>142</v>
      </c>
      <c r="B106" s="195" t="s">
        <v>32</v>
      </c>
      <c r="C106" s="198" t="s">
        <v>58</v>
      </c>
      <c r="D106" s="199"/>
      <c r="E106" s="143" t="s">
        <v>99</v>
      </c>
      <c r="F106" s="200" t="s">
        <v>4</v>
      </c>
      <c r="G106" s="201">
        <v>44197</v>
      </c>
      <c r="H106" s="229"/>
      <c r="I106" s="229"/>
      <c r="J106" s="316"/>
      <c r="K106" s="230" t="s">
        <v>12</v>
      </c>
      <c r="L106" s="318">
        <v>44197</v>
      </c>
      <c r="M106" s="318">
        <v>44561</v>
      </c>
      <c r="N106" s="317"/>
      <c r="O106" s="144"/>
      <c r="P106" s="144"/>
      <c r="Q106" s="203">
        <v>10000</v>
      </c>
      <c r="R106" s="204" t="s">
        <v>32</v>
      </c>
      <c r="S106" s="254">
        <v>400</v>
      </c>
      <c r="T106" s="255">
        <v>25</v>
      </c>
      <c r="U106" s="280">
        <f t="shared" si="182"/>
        <v>10000</v>
      </c>
      <c r="V106" s="254">
        <v>400</v>
      </c>
      <c r="W106" s="255">
        <v>25</v>
      </c>
      <c r="X106" s="280">
        <f t="shared" si="165"/>
        <v>10000</v>
      </c>
      <c r="Y106" s="254">
        <v>400</v>
      </c>
      <c r="Z106" s="255">
        <v>25</v>
      </c>
      <c r="AA106" s="280">
        <f t="shared" si="166"/>
        <v>10000</v>
      </c>
      <c r="AB106" s="254">
        <v>400</v>
      </c>
      <c r="AC106" s="255">
        <v>25</v>
      </c>
      <c r="AD106" s="280">
        <f t="shared" si="167"/>
        <v>10000</v>
      </c>
      <c r="AE106" s="254">
        <v>400</v>
      </c>
      <c r="AF106" s="255">
        <v>25</v>
      </c>
      <c r="AG106" s="280">
        <f t="shared" si="168"/>
        <v>10000</v>
      </c>
      <c r="AH106" s="254">
        <v>400</v>
      </c>
      <c r="AI106" s="255">
        <v>25</v>
      </c>
      <c r="AJ106" s="280">
        <f t="shared" si="169"/>
        <v>10000</v>
      </c>
      <c r="AK106" s="254">
        <v>400</v>
      </c>
      <c r="AL106" s="255">
        <v>25</v>
      </c>
      <c r="AM106" s="280">
        <f t="shared" si="170"/>
        <v>10000</v>
      </c>
      <c r="AN106" s="254">
        <v>400</v>
      </c>
      <c r="AO106" s="255">
        <v>25</v>
      </c>
      <c r="AP106" s="280">
        <f t="shared" si="171"/>
        <v>10000</v>
      </c>
      <c r="AQ106" s="254">
        <v>400</v>
      </c>
      <c r="AR106" s="255">
        <v>25</v>
      </c>
      <c r="AS106" s="280">
        <f t="shared" si="172"/>
        <v>10000</v>
      </c>
      <c r="AT106" s="254">
        <v>400</v>
      </c>
      <c r="AU106" s="255">
        <v>25</v>
      </c>
      <c r="AV106" s="280">
        <f t="shared" si="173"/>
        <v>10000</v>
      </c>
      <c r="AW106" s="254">
        <v>400</v>
      </c>
      <c r="AX106" s="255">
        <v>25</v>
      </c>
      <c r="AY106" s="280">
        <f t="shared" si="174"/>
        <v>10000</v>
      </c>
      <c r="AZ106" s="254">
        <v>400</v>
      </c>
      <c r="BA106" s="255">
        <v>25</v>
      </c>
      <c r="BB106" s="280">
        <f t="shared" si="175"/>
        <v>10000</v>
      </c>
      <c r="BC106" s="285">
        <f t="shared" si="183"/>
        <v>120000</v>
      </c>
    </row>
    <row r="107" spans="1:55" ht="15" thickBot="1" x14ac:dyDescent="0.35">
      <c r="A107" s="462" t="s">
        <v>144</v>
      </c>
      <c r="B107" s="195" t="s">
        <v>8</v>
      </c>
      <c r="C107" s="198" t="s">
        <v>58</v>
      </c>
      <c r="D107" s="199"/>
      <c r="E107" s="143" t="s">
        <v>156</v>
      </c>
      <c r="F107" s="449" t="s">
        <v>5</v>
      </c>
      <c r="G107" s="201">
        <v>44197</v>
      </c>
      <c r="H107" s="229"/>
      <c r="I107" s="229"/>
      <c r="J107" s="316"/>
      <c r="K107" s="230" t="s">
        <v>12</v>
      </c>
      <c r="L107" s="318">
        <v>44197</v>
      </c>
      <c r="M107" s="318">
        <v>44561</v>
      </c>
      <c r="N107" s="317"/>
      <c r="O107" s="144"/>
      <c r="P107" s="144"/>
      <c r="Q107" s="448">
        <v>17500</v>
      </c>
      <c r="R107" s="204" t="s">
        <v>8</v>
      </c>
      <c r="S107" s="254">
        <v>500</v>
      </c>
      <c r="T107" s="255">
        <v>35</v>
      </c>
      <c r="U107" s="280">
        <f t="shared" si="182"/>
        <v>17500</v>
      </c>
      <c r="V107" s="254">
        <v>500</v>
      </c>
      <c r="W107" s="255">
        <v>35</v>
      </c>
      <c r="X107" s="280">
        <f t="shared" si="165"/>
        <v>17500</v>
      </c>
      <c r="Y107" s="254">
        <v>500</v>
      </c>
      <c r="Z107" s="255">
        <v>35</v>
      </c>
      <c r="AA107" s="280">
        <f t="shared" si="166"/>
        <v>17500</v>
      </c>
      <c r="AB107" s="254">
        <v>500</v>
      </c>
      <c r="AC107" s="255">
        <v>35</v>
      </c>
      <c r="AD107" s="280">
        <f t="shared" si="167"/>
        <v>17500</v>
      </c>
      <c r="AE107" s="254">
        <v>500</v>
      </c>
      <c r="AF107" s="255">
        <v>35</v>
      </c>
      <c r="AG107" s="280">
        <f t="shared" si="168"/>
        <v>17500</v>
      </c>
      <c r="AH107" s="254">
        <v>500</v>
      </c>
      <c r="AI107" s="255">
        <v>35</v>
      </c>
      <c r="AJ107" s="280">
        <f t="shared" si="169"/>
        <v>17500</v>
      </c>
      <c r="AK107" s="254">
        <v>500</v>
      </c>
      <c r="AL107" s="255">
        <v>35</v>
      </c>
      <c r="AM107" s="280">
        <f t="shared" si="170"/>
        <v>17500</v>
      </c>
      <c r="AN107" s="254">
        <v>500</v>
      </c>
      <c r="AO107" s="255">
        <v>35</v>
      </c>
      <c r="AP107" s="280">
        <f t="shared" si="171"/>
        <v>17500</v>
      </c>
      <c r="AQ107" s="254">
        <v>500</v>
      </c>
      <c r="AR107" s="255">
        <v>35</v>
      </c>
      <c r="AS107" s="280">
        <f t="shared" si="172"/>
        <v>17500</v>
      </c>
      <c r="AT107" s="254">
        <v>500</v>
      </c>
      <c r="AU107" s="255">
        <v>35</v>
      </c>
      <c r="AV107" s="280">
        <f t="shared" si="173"/>
        <v>17500</v>
      </c>
      <c r="AW107" s="254">
        <v>500</v>
      </c>
      <c r="AX107" s="255">
        <v>35</v>
      </c>
      <c r="AY107" s="280">
        <f t="shared" si="174"/>
        <v>17500</v>
      </c>
      <c r="AZ107" s="254">
        <v>500</v>
      </c>
      <c r="BA107" s="255">
        <v>35</v>
      </c>
      <c r="BB107" s="280">
        <f t="shared" si="175"/>
        <v>17500</v>
      </c>
      <c r="BC107" s="285">
        <f>SUM(U107,X107,AA107,AD107,AG107,AJ107,AM107,AP107,AS107,AV107,AY107,BB107)</f>
        <v>210000</v>
      </c>
    </row>
    <row r="108" spans="1:55" x14ac:dyDescent="0.3">
      <c r="AP108" s="347">
        <v>4875</v>
      </c>
    </row>
  </sheetData>
  <autoFilter ref="A11:BC60" xr:uid="{72F3327F-3CC9-481C-BF66-63E9BD5393E6}">
    <filterColumn colId="11" showButton="0"/>
    <filterColumn colId="12" showButton="0"/>
    <filterColumn colId="13" showButton="0"/>
    <filterColumn colId="14" showButton="0"/>
    <filterColumn colId="15" showButton="0"/>
    <filterColumn colId="18" showButton="0"/>
    <filterColumn colId="19" showButton="0"/>
    <filterColumn colId="21" showButton="0"/>
    <filterColumn colId="22" showButton="0"/>
    <filterColumn colId="24" showButton="0"/>
    <filterColumn colId="25" showButton="0"/>
    <filterColumn colId="27" showButton="0"/>
    <filterColumn colId="28" showButton="0"/>
    <filterColumn colId="30" showButton="0"/>
    <filterColumn colId="31" showButton="0"/>
    <filterColumn colId="33" showButton="0"/>
    <filterColumn colId="34" showButton="0"/>
    <filterColumn colId="36" showButton="0"/>
    <filterColumn colId="37" showButton="0"/>
    <filterColumn colId="39" showButton="0"/>
    <filterColumn colId="40" showButton="0"/>
    <filterColumn colId="42" showButton="0"/>
    <filterColumn colId="43" showButton="0"/>
    <filterColumn colId="45" showButton="0"/>
    <filterColumn colId="46" showButton="0"/>
    <filterColumn colId="48" showButton="0"/>
    <filterColumn colId="49" showButton="0"/>
    <filterColumn colId="51" showButton="0"/>
    <filterColumn colId="52" showButton="0"/>
  </autoFilter>
  <mergeCells count="46">
    <mergeCell ref="A54:A60"/>
    <mergeCell ref="AQ12:AS12"/>
    <mergeCell ref="AB12:AD12"/>
    <mergeCell ref="AE12:AG12"/>
    <mergeCell ref="AH12:AJ12"/>
    <mergeCell ref="AK12:AM12"/>
    <mergeCell ref="AN12:AP12"/>
    <mergeCell ref="A49:A53"/>
    <mergeCell ref="V12:X12"/>
    <mergeCell ref="Y12:AA12"/>
    <mergeCell ref="A30:A35"/>
    <mergeCell ref="A36:A41"/>
    <mergeCell ref="A42:A47"/>
    <mergeCell ref="A20:A25"/>
    <mergeCell ref="A26:A29"/>
    <mergeCell ref="L11:Q12"/>
    <mergeCell ref="AT12:AV12"/>
    <mergeCell ref="AW12:AY12"/>
    <mergeCell ref="AZ12:BB12"/>
    <mergeCell ref="AT11:AV11"/>
    <mergeCell ref="AZ1:BB1"/>
    <mergeCell ref="AW1:AY1"/>
    <mergeCell ref="AW11:AY11"/>
    <mergeCell ref="AZ11:BB11"/>
    <mergeCell ref="AT1:AV1"/>
    <mergeCell ref="S1:U1"/>
    <mergeCell ref="V1:X1"/>
    <mergeCell ref="Y1:AA1"/>
    <mergeCell ref="AB1:AD1"/>
    <mergeCell ref="AE1:AG1"/>
    <mergeCell ref="A14:A19"/>
    <mergeCell ref="AH1:AJ1"/>
    <mergeCell ref="AK1:AM1"/>
    <mergeCell ref="AN1:AP1"/>
    <mergeCell ref="AQ1:AS1"/>
    <mergeCell ref="R11:R13"/>
    <mergeCell ref="S11:U11"/>
    <mergeCell ref="S12:U12"/>
    <mergeCell ref="AN11:AP11"/>
    <mergeCell ref="AQ11:AS11"/>
    <mergeCell ref="AE11:AG11"/>
    <mergeCell ref="AH11:AJ11"/>
    <mergeCell ref="AK11:AM11"/>
    <mergeCell ref="V11:X11"/>
    <mergeCell ref="Y11:AA11"/>
    <mergeCell ref="AB11:AD11"/>
  </mergeCells>
  <conditionalFormatting sqref="S46:T46 V46:W46 Y46:Z46 AB46:AC46 AE46:AF46 AH46:AI46 AK46:AL46 AN46:AO46 AQ46:AR46 AT46:AU46 AW46:AX46 AZ46:BA46 S48:BB48 S54:BB59 S49:S51 V49:V51 Y49:Y51 AB49:AB51 AE49:AE51 AH49:AH51 AK49:AK51 AN49:AN51 AQ49:AQ51 AT49:AT51 AW49:AW51 AZ49:AZ51 S34:BB34 S32:V33 S30:V30 X30:AB30 Z31 X32:AB33 AD32:AE33 AD30:AE30 AG30:AH30 AG32:AH33 AJ32:AK33 AJ30:AK30 AM30:AN30 AM32:AN33 AP32:AQ33 AP30:AQ30 AS30:AT30 AS32:AT33 AV32:AW33 AV30:AW30 AY30:AZ30 AY32:AZ33 BB32:BB33 BB30 S36:BB39 S25:BB29">
    <cfRule type="cellIs" dxfId="1623" priority="859" operator="lessThan">
      <formula>0.05</formula>
    </cfRule>
  </conditionalFormatting>
  <conditionalFormatting sqref="N48:Q48 M88:Q88 L64:Q64 M71:Q71 N70:Q70 N72:Q72 N51:Q53 N74:Q74 N98:Q104 N97:P97 N79:Q82 O49:P50 N86:Q96 N84:P84 M65:Q69 L15:Q25">
    <cfRule type="containsBlanks" dxfId="1622" priority="858">
      <formula>LEN(TRIM(L15))=0</formula>
    </cfRule>
  </conditionalFormatting>
  <conditionalFormatting sqref="S47 Y47 AB47 AE47 AH47 AK47 AN47 AQ47 AT47 AW47 AZ47 V47">
    <cfRule type="containsBlanks" dxfId="1621" priority="849">
      <formula>LEN(TRIM(S47))=0</formula>
    </cfRule>
  </conditionalFormatting>
  <conditionalFormatting sqref="U60 AG60 X60 AA60 AD60 AJ60 AM60 AP60 AY60 AS60 BB60 AV60">
    <cfRule type="containsBlanks" dxfId="1620" priority="855">
      <formula>LEN(TRIM(U60))=0</formula>
    </cfRule>
    <cfRule type="containsBlanks" dxfId="1619" priority="856">
      <formula>LEN(TRIM(U60))=0</formula>
    </cfRule>
  </conditionalFormatting>
  <conditionalFormatting sqref="U60 AG60 X60 AA60 AD60 AJ60 AM60 AP60 AY60 AS60 BB60 AV60">
    <cfRule type="containsBlanks" dxfId="1618" priority="854">
      <formula>LEN(TRIM(U60))=0</formula>
    </cfRule>
  </conditionalFormatting>
  <conditionalFormatting sqref="S47:BB47">
    <cfRule type="cellIs" dxfId="1617" priority="853" operator="lessThan">
      <formula>0.05</formula>
    </cfRule>
  </conditionalFormatting>
  <conditionalFormatting sqref="S47:BB47">
    <cfRule type="containsBlanks" dxfId="1616" priority="851">
      <formula>LEN(TRIM(S47))=0</formula>
    </cfRule>
    <cfRule type="containsBlanks" dxfId="1615" priority="852">
      <formula>LEN(TRIM(S47))=0</formula>
    </cfRule>
  </conditionalFormatting>
  <conditionalFormatting sqref="S47:BB47">
    <cfRule type="containsBlanks" dxfId="1614" priority="850">
      <formula>LEN(TRIM(S47))=0</formula>
    </cfRule>
  </conditionalFormatting>
  <conditionalFormatting sqref="S35:BB35">
    <cfRule type="cellIs" dxfId="1613" priority="848" operator="lessThan">
      <formula>0.05</formula>
    </cfRule>
  </conditionalFormatting>
  <conditionalFormatting sqref="S35:BB35">
    <cfRule type="containsBlanks" dxfId="1612" priority="846">
      <formula>LEN(TRIM(S35))=0</formula>
    </cfRule>
    <cfRule type="containsBlanks" dxfId="1611" priority="847">
      <formula>LEN(TRIM(S35))=0</formula>
    </cfRule>
  </conditionalFormatting>
  <conditionalFormatting sqref="S35:BB35">
    <cfRule type="containsBlanks" dxfId="1610" priority="845">
      <formula>LEN(TRIM(S35))=0</formula>
    </cfRule>
  </conditionalFormatting>
  <conditionalFormatting sqref="S35 V35 Y35 AB35 AE35 AH35 AK35 AN35 AQ35 AT35 AW35 AZ35">
    <cfRule type="containsBlanks" dxfId="1609" priority="844">
      <formula>LEN(TRIM(S35))=0</formula>
    </cfRule>
  </conditionalFormatting>
  <conditionalFormatting sqref="S29 V29 Y29 AE29 AK29 AQ29 AW29 AB29 AH29 AN29 AT29 AZ29">
    <cfRule type="containsBlanks" dxfId="1608" priority="841">
      <formula>LEN(TRIM(S29))=0</formula>
    </cfRule>
  </conditionalFormatting>
  <conditionalFormatting sqref="S25 V25 Y25 AB25 AE25 AH25 AK25 AN25 AQ25 AT25 AW25 AZ25">
    <cfRule type="containsBlanks" dxfId="1607" priority="840">
      <formula>LEN(TRIM(S25))=0</formula>
    </cfRule>
  </conditionalFormatting>
  <conditionalFormatting sqref="S25 V25 Y25 AB25 AE25 AH25 AK25 AN25 AQ25 AT25 AW25 AZ25">
    <cfRule type="containsBlanks" dxfId="1606" priority="839">
      <formula>LEN(TRIM(S25))=0</formula>
    </cfRule>
  </conditionalFormatting>
  <conditionalFormatting sqref="L22:M25">
    <cfRule type="containsBlanks" dxfId="1605" priority="838">
      <formula>LEN(TRIM(L22))=0</formula>
    </cfRule>
  </conditionalFormatting>
  <conditionalFormatting sqref="N27:Q29">
    <cfRule type="containsBlanks" dxfId="1604" priority="837">
      <formula>LEN(TRIM(N27))=0</formula>
    </cfRule>
  </conditionalFormatting>
  <conditionalFormatting sqref="L27:M29">
    <cfRule type="containsBlanks" dxfId="1603" priority="836">
      <formula>LEN(TRIM(L27))=0</formula>
    </cfRule>
  </conditionalFormatting>
  <conditionalFormatting sqref="N33:Q35">
    <cfRule type="containsBlanks" dxfId="1602" priority="835">
      <formula>LEN(TRIM(N33))=0</formula>
    </cfRule>
  </conditionalFormatting>
  <conditionalFormatting sqref="L33:M35">
    <cfRule type="containsBlanks" dxfId="1601" priority="834">
      <formula>LEN(TRIM(L33))=0</formula>
    </cfRule>
  </conditionalFormatting>
  <conditionalFormatting sqref="N38:Q38">
    <cfRule type="containsBlanks" dxfId="1600" priority="833">
      <formula>LEN(TRIM(N38))=0</formula>
    </cfRule>
  </conditionalFormatting>
  <conditionalFormatting sqref="L38:M38">
    <cfRule type="containsBlanks" dxfId="1599" priority="832">
      <formula>LEN(TRIM(L38))=0</formula>
    </cfRule>
  </conditionalFormatting>
  <conditionalFormatting sqref="N39:Q41">
    <cfRule type="containsBlanks" dxfId="1598" priority="831">
      <formula>LEN(TRIM(N39))=0</formula>
    </cfRule>
  </conditionalFormatting>
  <conditionalFormatting sqref="L39:M41">
    <cfRule type="containsBlanks" dxfId="1597" priority="830">
      <formula>LEN(TRIM(L39))=0</formula>
    </cfRule>
  </conditionalFormatting>
  <conditionalFormatting sqref="N43:Q43 N45:Q45">
    <cfRule type="containsBlanks" dxfId="1596" priority="829">
      <formula>LEN(TRIM(N43))=0</formula>
    </cfRule>
  </conditionalFormatting>
  <conditionalFormatting sqref="L43 L45:M45">
    <cfRule type="containsBlanks" dxfId="1595" priority="828">
      <formula>LEN(TRIM(L43))=0</formula>
    </cfRule>
  </conditionalFormatting>
  <conditionalFormatting sqref="L48:M53">
    <cfRule type="containsBlanks" dxfId="1594" priority="827">
      <formula>LEN(TRIM(L48))=0</formula>
    </cfRule>
  </conditionalFormatting>
  <conditionalFormatting sqref="L48:M53">
    <cfRule type="containsBlanks" dxfId="1593" priority="826">
      <formula>LEN(TRIM(L48))=0</formula>
    </cfRule>
  </conditionalFormatting>
  <conditionalFormatting sqref="N56:Q58">
    <cfRule type="containsBlanks" dxfId="1592" priority="825">
      <formula>LEN(TRIM(N56))=0</formula>
    </cfRule>
  </conditionalFormatting>
  <conditionalFormatting sqref="L56:M58">
    <cfRule type="containsBlanks" dxfId="1591" priority="824">
      <formula>LEN(TRIM(L56))=0</formula>
    </cfRule>
  </conditionalFormatting>
  <conditionalFormatting sqref="N59:Q60">
    <cfRule type="containsBlanks" dxfId="1590" priority="823">
      <formula>LEN(TRIM(N59))=0</formula>
    </cfRule>
  </conditionalFormatting>
  <conditionalFormatting sqref="L59:M60">
    <cfRule type="containsBlanks" dxfId="1589" priority="822">
      <formula>LEN(TRIM(L59))=0</formula>
    </cfRule>
  </conditionalFormatting>
  <conditionalFormatting sqref="S40:BB41">
    <cfRule type="cellIs" dxfId="1588" priority="821" operator="lessThan">
      <formula>0.05</formula>
    </cfRule>
  </conditionalFormatting>
  <conditionalFormatting sqref="S40:BB41">
    <cfRule type="containsBlanks" dxfId="1587" priority="820">
      <formula>LEN(TRIM(S40))=0</formula>
    </cfRule>
  </conditionalFormatting>
  <conditionalFormatting sqref="V41 AE41 S41 Y41 AB41 AH41 AK41 AN41 AQ41 AT41 AW41 AZ41">
    <cfRule type="containsBlanks" dxfId="1586" priority="819">
      <formula>LEN(TRIM(S41))=0</formula>
    </cfRule>
  </conditionalFormatting>
  <conditionalFormatting sqref="N26:Q26">
    <cfRule type="containsBlanks" dxfId="1585" priority="817">
      <formula>LEN(TRIM(N26))=0</formula>
    </cfRule>
  </conditionalFormatting>
  <conditionalFormatting sqref="N42:Q42">
    <cfRule type="containsBlanks" dxfId="1584" priority="815">
      <formula>LEN(TRIM(N42))=0</formula>
    </cfRule>
  </conditionalFormatting>
  <conditionalFormatting sqref="L46:Q47">
    <cfRule type="containsBlanks" dxfId="1583" priority="813">
      <formula>LEN(TRIM(L46))=0</formula>
    </cfRule>
  </conditionalFormatting>
  <conditionalFormatting sqref="U25 X25 AA25 AD25 AG25 AJ25 AM25 AP25 AS25 AV25 AY25 BB25">
    <cfRule type="cellIs" dxfId="1582" priority="803" operator="lessThan">
      <formula>0.05</formula>
    </cfRule>
  </conditionalFormatting>
  <conditionalFormatting sqref="U25 X25 AA25 AD25 AG25 AJ25 AM25 AP25 AS25 AV25 AY25 BB25">
    <cfRule type="containsBlanks" dxfId="1581" priority="801">
      <formula>LEN(TRIM(U25))=0</formula>
    </cfRule>
    <cfRule type="containsBlanks" dxfId="1580" priority="802">
      <formula>LEN(TRIM(U25))=0</formula>
    </cfRule>
  </conditionalFormatting>
  <conditionalFormatting sqref="U29 X29 AA29 AG29 AM29 AS29 AY29 AD29 AJ29 AP29 AV29 BB29">
    <cfRule type="cellIs" dxfId="1579" priority="800" operator="lessThan">
      <formula>0.05</formula>
    </cfRule>
  </conditionalFormatting>
  <conditionalFormatting sqref="U29 X29 AA29 AG29 AM29 AS29 AY29 AD29 AJ29 AP29 AV29 BB29">
    <cfRule type="containsBlanks" dxfId="1578" priority="798">
      <formula>LEN(TRIM(U29))=0</formula>
    </cfRule>
    <cfRule type="containsBlanks" dxfId="1577" priority="799">
      <formula>LEN(TRIM(U29))=0</formula>
    </cfRule>
  </conditionalFormatting>
  <conditionalFormatting sqref="N22:Q25">
    <cfRule type="containsBlanks" dxfId="1576" priority="797">
      <formula>LEN(TRIM(N22))=0</formula>
    </cfRule>
  </conditionalFormatting>
  <conditionalFormatting sqref="S60:T60 V60:W60 Y60:Z60 AB60:AC60">
    <cfRule type="cellIs" dxfId="1575" priority="794" operator="lessThan">
      <formula>0.05</formula>
    </cfRule>
  </conditionalFormatting>
  <conditionalFormatting sqref="S60:T60 V60:W60 Y60:Z60 AB60:AC60">
    <cfRule type="containsBlanks" dxfId="1574" priority="792">
      <formula>LEN(TRIM(S60))=0</formula>
    </cfRule>
    <cfRule type="containsBlanks" dxfId="1573" priority="793">
      <formula>LEN(TRIM(S60))=0</formula>
    </cfRule>
  </conditionalFormatting>
  <conditionalFormatting sqref="S60:T60 V60:W60 Y60:Z60 AB60:AC60">
    <cfRule type="containsBlanks" dxfId="1572" priority="791">
      <formula>LEN(TRIM(S60))=0</formula>
    </cfRule>
  </conditionalFormatting>
  <conditionalFormatting sqref="S60 V60 Y60 AB60">
    <cfRule type="containsBlanks" dxfId="1571" priority="790">
      <formula>LEN(TRIM(S60))=0</formula>
    </cfRule>
  </conditionalFormatting>
  <conditionalFormatting sqref="AE60:AF60 AH60:AI60 AK60:AL60 AN60:AO60 AW60:AX60 AQ60:AR60 AZ60:BA60 AT60:AU60">
    <cfRule type="cellIs" dxfId="1570" priority="789" operator="lessThan">
      <formula>0.05</formula>
    </cfRule>
  </conditionalFormatting>
  <conditionalFormatting sqref="AE60:AF60 AH60:AI60 AK60:AL60 AN60:AO60 AW60:AX60 AQ60:AR60 AZ60:BA60 AT60:AU60">
    <cfRule type="containsBlanks" dxfId="1569" priority="787">
      <formula>LEN(TRIM(AE60))=0</formula>
    </cfRule>
    <cfRule type="containsBlanks" dxfId="1568" priority="788">
      <formula>LEN(TRIM(AE60))=0</formula>
    </cfRule>
  </conditionalFormatting>
  <conditionalFormatting sqref="AE60:AF60 AH60:AI60 AK60:AL60 AN60:AO60 AW60:AX60 AQ60:AR60 AZ60:BA60 AT60:AU60">
    <cfRule type="containsBlanks" dxfId="1567" priority="786">
      <formula>LEN(TRIM(AE60))=0</formula>
    </cfRule>
  </conditionalFormatting>
  <conditionalFormatting sqref="AE60 AH60 AK60 AN60 AW60 AQ60 AZ60 AT60">
    <cfRule type="containsBlanks" dxfId="1566" priority="785">
      <formula>LEN(TRIM(AE60))=0</formula>
    </cfRule>
  </conditionalFormatting>
  <conditionalFormatting sqref="L104:M104 L67:L69 L71 L74:M74 M77:M82 M88:M99 M84 M86">
    <cfRule type="containsBlanks" dxfId="1565" priority="776">
      <formula>LEN(TRIM(L67))=0</formula>
    </cfRule>
  </conditionalFormatting>
  <conditionalFormatting sqref="L104:M104 L67:L69 L71 L74:M74 M77:M82 M88:M99 M84 M86">
    <cfRule type="containsBlanks" dxfId="1564" priority="775">
      <formula>LEN(TRIM(L67))=0</formula>
    </cfRule>
  </conditionalFormatting>
  <conditionalFormatting sqref="N77:Q77">
    <cfRule type="containsBlanks" dxfId="1563" priority="771">
      <formula>LEN(TRIM(N77))=0</formula>
    </cfRule>
  </conditionalFormatting>
  <conditionalFormatting sqref="L20">
    <cfRule type="containsBlanks" dxfId="1562" priority="610">
      <formula>LEN(TRIM(L20))=0</formula>
    </cfRule>
  </conditionalFormatting>
  <conditionalFormatting sqref="N78:Q78">
    <cfRule type="containsBlanks" dxfId="1561" priority="767">
      <formula>LEN(TRIM(N78))=0</formula>
    </cfRule>
  </conditionalFormatting>
  <conditionalFormatting sqref="S20:T23 V20:W23 Y20:Z23 AB20:AC23 AE20:AF23 AH20:AI23 AK20:AL23 AN20:AO23 AQ20:AR23 AT20:AU23 AW20:AX23 AZ20:BA23 S24:BB24">
    <cfRule type="cellIs" dxfId="1560" priority="606" operator="lessThan">
      <formula>0.05</formula>
    </cfRule>
  </conditionalFormatting>
  <conditionalFormatting sqref="S78:U78">
    <cfRule type="containsBlanks" dxfId="1559" priority="578">
      <formula>LEN(TRIM(S78))=0</formula>
    </cfRule>
    <cfRule type="containsBlanks" dxfId="1558" priority="579">
      <formula>LEN(TRIM(S78))=0</formula>
    </cfRule>
  </conditionalFormatting>
  <conditionalFormatting sqref="S78:U78">
    <cfRule type="containsBlanks" dxfId="1557" priority="577">
      <formula>LEN(TRIM(S78))=0</formula>
    </cfRule>
  </conditionalFormatting>
  <conditionalFormatting sqref="U69:U70">
    <cfRule type="containsBlanks" dxfId="1556" priority="561">
      <formula>LEN(TRIM(U69))=0</formula>
    </cfRule>
  </conditionalFormatting>
  <conditionalFormatting sqref="T71:T72">
    <cfRule type="cellIs" dxfId="1555" priority="552" operator="lessThan">
      <formula>0.05</formula>
    </cfRule>
  </conditionalFormatting>
  <conditionalFormatting sqref="U77">
    <cfRule type="containsBlanks" dxfId="1554" priority="544">
      <formula>LEN(TRIM(U77))=0</formula>
    </cfRule>
    <cfRule type="containsBlanks" dxfId="1553" priority="545">
      <formula>LEN(TRIM(U77))=0</formula>
    </cfRule>
  </conditionalFormatting>
  <conditionalFormatting sqref="S79">
    <cfRule type="cellIs" dxfId="1552" priority="538" operator="lessThan">
      <formula>0.05</formula>
    </cfRule>
  </conditionalFormatting>
  <conditionalFormatting sqref="S74">
    <cfRule type="cellIs" dxfId="1551" priority="523" operator="lessThan">
      <formula>0.05</formula>
    </cfRule>
  </conditionalFormatting>
  <conditionalFormatting sqref="S88">
    <cfRule type="cellIs" dxfId="1550" priority="573" operator="lessThan">
      <formula>0.05</formula>
    </cfRule>
  </conditionalFormatting>
  <conditionalFormatting sqref="U69:U70">
    <cfRule type="containsBlanks" dxfId="1549" priority="559">
      <formula>LEN(TRIM(U69))=0</formula>
    </cfRule>
    <cfRule type="containsBlanks" dxfId="1548" priority="560">
      <formula>LEN(TRIM(U69))=0</formula>
    </cfRule>
  </conditionalFormatting>
  <conditionalFormatting sqref="S69:S70">
    <cfRule type="cellIs" dxfId="1547" priority="558" operator="lessThan">
      <formula>0.05</formula>
    </cfRule>
  </conditionalFormatting>
  <conditionalFormatting sqref="T69:T70">
    <cfRule type="cellIs" dxfId="1546" priority="557" operator="lessThan">
      <formula>0.05</formula>
    </cfRule>
  </conditionalFormatting>
  <conditionalFormatting sqref="O20:P20">
    <cfRule type="containsBlanks" dxfId="1545" priority="609">
      <formula>LEN(TRIM(O20))=0</formula>
    </cfRule>
  </conditionalFormatting>
  <conditionalFormatting sqref="L21:M21">
    <cfRule type="containsBlanks" dxfId="1544" priority="608">
      <formula>LEN(TRIM(L21))=0</formula>
    </cfRule>
  </conditionalFormatting>
  <conditionalFormatting sqref="N21:Q21">
    <cfRule type="containsBlanks" dxfId="1543" priority="607">
      <formula>LEN(TRIM(N21))=0</formula>
    </cfRule>
  </conditionalFormatting>
  <conditionalFormatting sqref="U23 X23 AA23 AD23 AG23 AJ23 AM23 AP23 AS23 AV23 AY23 BB23">
    <cfRule type="cellIs" dxfId="1542" priority="605" operator="lessThan">
      <formula>0.05</formula>
    </cfRule>
  </conditionalFormatting>
  <conditionalFormatting sqref="N30 Q30">
    <cfRule type="containsBlanks" dxfId="1541" priority="604">
      <formula>LEN(TRIM(N30))=0</formula>
    </cfRule>
  </conditionalFormatting>
  <conditionalFormatting sqref="N32:Q32">
    <cfRule type="containsBlanks" dxfId="1540" priority="603">
      <formula>LEN(TRIM(N32))=0</formula>
    </cfRule>
  </conditionalFormatting>
  <conditionalFormatting sqref="L32:M32">
    <cfRule type="containsBlanks" dxfId="1539" priority="602">
      <formula>LEN(TRIM(L32))=0</formula>
    </cfRule>
  </conditionalFormatting>
  <conditionalFormatting sqref="N36:P36">
    <cfRule type="containsBlanks" dxfId="1538" priority="601">
      <formula>LEN(TRIM(N36))=0</formula>
    </cfRule>
  </conditionalFormatting>
  <conditionalFormatting sqref="L36:M36">
    <cfRule type="containsBlanks" dxfId="1537" priority="600">
      <formula>LEN(TRIM(L36))=0</formula>
    </cfRule>
  </conditionalFormatting>
  <conditionalFormatting sqref="Q36">
    <cfRule type="containsBlanks" dxfId="1536" priority="599">
      <formula>LEN(TRIM(Q36))=0</formula>
    </cfRule>
  </conditionalFormatting>
  <conditionalFormatting sqref="N37:Q37">
    <cfRule type="containsBlanks" dxfId="1535" priority="598">
      <formula>LEN(TRIM(N37))=0</formula>
    </cfRule>
  </conditionalFormatting>
  <conditionalFormatting sqref="L37:M37">
    <cfRule type="containsBlanks" dxfId="1534" priority="597">
      <formula>LEN(TRIM(L37))=0</formula>
    </cfRule>
  </conditionalFormatting>
  <conditionalFormatting sqref="U46 X46 AA46 AD46 AG46 AJ46 AM46 AP46 AS46 AV46 AY46 BB46">
    <cfRule type="cellIs" dxfId="1533" priority="591" operator="lessThan">
      <formula>0.05</formula>
    </cfRule>
  </conditionalFormatting>
  <conditionalFormatting sqref="N44:Q44">
    <cfRule type="containsBlanks" dxfId="1532" priority="595">
      <formula>LEN(TRIM(N44))=0</formula>
    </cfRule>
  </conditionalFormatting>
  <conditionalFormatting sqref="L44:M44">
    <cfRule type="containsBlanks" dxfId="1531" priority="594">
      <formula>LEN(TRIM(L44))=0</formula>
    </cfRule>
  </conditionalFormatting>
  <conditionalFormatting sqref="S45 BB45 S42:S43 BB43 AY43:AZ43 AY45:AZ45 AY42:BB42 AV42:AW43 AV45:AW45 AS42:AT43 AS45:AT45 AP42:AQ43 AP45:AQ45 AM42:AN43 AM45:AN45 AJ42:AK43 AJ45:AK45 AG42:AH43 AG45:AH45 AD42:AE43 AD45:AE45 AA42:AB43 AA45:AB45 X42:Y43 X45:Y45 U42:V43 U45:V45">
    <cfRule type="cellIs" dxfId="1530" priority="593" operator="lessThan">
      <formula>0.05</formula>
    </cfRule>
  </conditionalFormatting>
  <conditionalFormatting sqref="S44 BB44 AY44:AZ44 AV44:AW44 AS44:AT44 AP44:AQ44 AM44:AN44 AJ44:AK44 AG44:AH44 AD44:AE44 AA44:AB44 X44:Y44 U44:V44">
    <cfRule type="cellIs" dxfId="1529" priority="592" operator="lessThan">
      <formula>0.05</formula>
    </cfRule>
  </conditionalFormatting>
  <conditionalFormatting sqref="U46 X46 AA46 AD46 AG46 AJ46 AM46 AP46 AS46 AV46 AY46 BB46">
    <cfRule type="containsBlanks" dxfId="1528" priority="590">
      <formula>LEN(TRIM(U46))=0</formula>
    </cfRule>
  </conditionalFormatting>
  <conditionalFormatting sqref="N54:P54">
    <cfRule type="containsBlanks" dxfId="1527" priority="589">
      <formula>LEN(TRIM(N54))=0</formula>
    </cfRule>
  </conditionalFormatting>
  <conditionalFormatting sqref="L54">
    <cfRule type="containsBlanks" dxfId="1526" priority="588">
      <formula>LEN(TRIM(L54))=0</formula>
    </cfRule>
  </conditionalFormatting>
  <conditionalFormatting sqref="Q54">
    <cfRule type="containsBlanks" dxfId="1525" priority="587">
      <formula>LEN(TRIM(Q54))=0</formula>
    </cfRule>
  </conditionalFormatting>
  <conditionalFormatting sqref="N55:Q55">
    <cfRule type="containsBlanks" dxfId="1524" priority="586">
      <formula>LEN(TRIM(N55))=0</formula>
    </cfRule>
  </conditionalFormatting>
  <conditionalFormatting sqref="L55:M55">
    <cfRule type="containsBlanks" dxfId="1523" priority="585">
      <formula>LEN(TRIM(L55))=0</formula>
    </cfRule>
  </conditionalFormatting>
  <conditionalFormatting sqref="U77">
    <cfRule type="containsBlanks" dxfId="1522" priority="546">
      <formula>LEN(TRIM(U77))=0</formula>
    </cfRule>
  </conditionalFormatting>
  <conditionalFormatting sqref="T77">
    <cfRule type="cellIs" dxfId="1521" priority="542" operator="lessThan">
      <formula>0.05</formula>
    </cfRule>
  </conditionalFormatting>
  <conditionalFormatting sqref="U88">
    <cfRule type="containsBlanks" dxfId="1520" priority="576">
      <formula>LEN(TRIM(U88))=0</formula>
    </cfRule>
  </conditionalFormatting>
  <conditionalFormatting sqref="U88">
    <cfRule type="containsBlanks" dxfId="1519" priority="574">
      <formula>LEN(TRIM(U88))=0</formula>
    </cfRule>
    <cfRule type="containsBlanks" dxfId="1518" priority="575">
      <formula>LEN(TRIM(U88))=0</formula>
    </cfRule>
  </conditionalFormatting>
  <conditionalFormatting sqref="T88">
    <cfRule type="cellIs" dxfId="1517" priority="572" operator="lessThan">
      <formula>0.05</formula>
    </cfRule>
  </conditionalFormatting>
  <conditionalFormatting sqref="U66">
    <cfRule type="containsBlanks" dxfId="1516" priority="571">
      <formula>LEN(TRIM(U66))=0</formula>
    </cfRule>
  </conditionalFormatting>
  <conditionalFormatting sqref="U66">
    <cfRule type="containsBlanks" dxfId="1515" priority="569">
      <formula>LEN(TRIM(U66))=0</formula>
    </cfRule>
    <cfRule type="containsBlanks" dxfId="1514" priority="570">
      <formula>LEN(TRIM(U66))=0</formula>
    </cfRule>
  </conditionalFormatting>
  <conditionalFormatting sqref="S66">
    <cfRule type="cellIs" dxfId="1513" priority="568" operator="lessThan">
      <formula>0.05</formula>
    </cfRule>
  </conditionalFormatting>
  <conditionalFormatting sqref="T66">
    <cfRule type="cellIs" dxfId="1512" priority="567" operator="lessThan">
      <formula>0.05</formula>
    </cfRule>
  </conditionalFormatting>
  <conditionalFormatting sqref="U67">
    <cfRule type="containsBlanks" dxfId="1511" priority="566">
      <formula>LEN(TRIM(U67))=0</formula>
    </cfRule>
  </conditionalFormatting>
  <conditionalFormatting sqref="U67">
    <cfRule type="containsBlanks" dxfId="1510" priority="564">
      <formula>LEN(TRIM(U67))=0</formula>
    </cfRule>
    <cfRule type="containsBlanks" dxfId="1509" priority="565">
      <formula>LEN(TRIM(U67))=0</formula>
    </cfRule>
  </conditionalFormatting>
  <conditionalFormatting sqref="S67">
    <cfRule type="cellIs" dxfId="1508" priority="563" operator="lessThan">
      <formula>0.05</formula>
    </cfRule>
  </conditionalFormatting>
  <conditionalFormatting sqref="T67">
    <cfRule type="cellIs" dxfId="1507" priority="562" operator="lessThan">
      <formula>0.05</formula>
    </cfRule>
  </conditionalFormatting>
  <conditionalFormatting sqref="U71">
    <cfRule type="containsBlanks" dxfId="1506" priority="556">
      <formula>LEN(TRIM(U71))=0</formula>
    </cfRule>
  </conditionalFormatting>
  <conditionalFormatting sqref="U71">
    <cfRule type="containsBlanks" dxfId="1505" priority="554">
      <formula>LEN(TRIM(U71))=0</formula>
    </cfRule>
    <cfRule type="containsBlanks" dxfId="1504" priority="555">
      <formula>LEN(TRIM(U71))=0</formula>
    </cfRule>
  </conditionalFormatting>
  <conditionalFormatting sqref="S71:S72">
    <cfRule type="cellIs" dxfId="1503" priority="553" operator="lessThan">
      <formula>0.05</formula>
    </cfRule>
  </conditionalFormatting>
  <conditionalFormatting sqref="U104">
    <cfRule type="containsBlanks" dxfId="1502" priority="551">
      <formula>LEN(TRIM(U104))=0</formula>
    </cfRule>
  </conditionalFormatting>
  <conditionalFormatting sqref="U104">
    <cfRule type="containsBlanks" dxfId="1501" priority="549">
      <formula>LEN(TRIM(U104))=0</formula>
    </cfRule>
    <cfRule type="containsBlanks" dxfId="1500" priority="550">
      <formula>LEN(TRIM(U104))=0</formula>
    </cfRule>
  </conditionalFormatting>
  <conditionalFormatting sqref="S104">
    <cfRule type="cellIs" dxfId="1499" priority="548" operator="lessThan">
      <formula>0.05</formula>
    </cfRule>
  </conditionalFormatting>
  <conditionalFormatting sqref="T104">
    <cfRule type="cellIs" dxfId="1498" priority="547" operator="lessThan">
      <formula>0.05</formula>
    </cfRule>
  </conditionalFormatting>
  <conditionalFormatting sqref="S77">
    <cfRule type="cellIs" dxfId="1497" priority="543" operator="lessThan">
      <formula>0.05</formula>
    </cfRule>
  </conditionalFormatting>
  <conditionalFormatting sqref="U79:U81">
    <cfRule type="containsBlanks" dxfId="1496" priority="541">
      <formula>LEN(TRIM(U79))=0</formula>
    </cfRule>
  </conditionalFormatting>
  <conditionalFormatting sqref="U79:U81">
    <cfRule type="containsBlanks" dxfId="1495" priority="539">
      <formula>LEN(TRIM(U79))=0</formula>
    </cfRule>
    <cfRule type="containsBlanks" dxfId="1494" priority="540">
      <formula>LEN(TRIM(U79))=0</formula>
    </cfRule>
  </conditionalFormatting>
  <conditionalFormatting sqref="T79">
    <cfRule type="cellIs" dxfId="1493" priority="537" operator="lessThan">
      <formula>0.05</formula>
    </cfRule>
  </conditionalFormatting>
  <conditionalFormatting sqref="U82">
    <cfRule type="containsBlanks" dxfId="1492" priority="536">
      <formula>LEN(TRIM(U82))=0</formula>
    </cfRule>
  </conditionalFormatting>
  <conditionalFormatting sqref="U82">
    <cfRule type="containsBlanks" dxfId="1491" priority="534">
      <formula>LEN(TRIM(U82))=0</formula>
    </cfRule>
    <cfRule type="containsBlanks" dxfId="1490" priority="535">
      <formula>LEN(TRIM(U82))=0</formula>
    </cfRule>
  </conditionalFormatting>
  <conditionalFormatting sqref="U86 U88:U91 U93:U96 U98 U100:U103">
    <cfRule type="containsBlanks" dxfId="1489" priority="531">
      <formula>LEN(TRIM(U86))=0</formula>
    </cfRule>
  </conditionalFormatting>
  <conditionalFormatting sqref="U86 U88:U91 U93:U96 U98 U100:U103">
    <cfRule type="containsBlanks" dxfId="1488" priority="529">
      <formula>LEN(TRIM(U86))=0</formula>
    </cfRule>
    <cfRule type="containsBlanks" dxfId="1487" priority="530">
      <formula>LEN(TRIM(U86))=0</formula>
    </cfRule>
  </conditionalFormatting>
  <conditionalFormatting sqref="T89:T91 T93:T96 T98 T100:T103">
    <cfRule type="cellIs" dxfId="1486" priority="527" operator="lessThan">
      <formula>0.05</formula>
    </cfRule>
  </conditionalFormatting>
  <conditionalFormatting sqref="U74">
    <cfRule type="containsBlanks" dxfId="1485" priority="526">
      <formula>LEN(TRIM(U74))=0</formula>
    </cfRule>
  </conditionalFormatting>
  <conditionalFormatting sqref="U74">
    <cfRule type="containsBlanks" dxfId="1484" priority="524">
      <formula>LEN(TRIM(U74))=0</formula>
    </cfRule>
    <cfRule type="containsBlanks" dxfId="1483" priority="525">
      <formula>LEN(TRIM(U74))=0</formula>
    </cfRule>
  </conditionalFormatting>
  <conditionalFormatting sqref="T74">
    <cfRule type="cellIs" dxfId="1482" priority="522" operator="lessThan">
      <formula>0.05</formula>
    </cfRule>
  </conditionalFormatting>
  <conditionalFormatting sqref="S80:S82 S86 S88:S91 S93:S96 S98 S100:S103">
    <cfRule type="cellIs" dxfId="1481" priority="521" operator="lessThan">
      <formula>0.05</formula>
    </cfRule>
  </conditionalFormatting>
  <conditionalFormatting sqref="T80:T82 T86 T88">
    <cfRule type="cellIs" dxfId="1480" priority="520" operator="lessThan">
      <formula>0.05</formula>
    </cfRule>
  </conditionalFormatting>
  <conditionalFormatting sqref="BB64 AY64:AY65">
    <cfRule type="containsBlanks" dxfId="1479" priority="517">
      <formula>LEN(TRIM(AY64))=0</formula>
    </cfRule>
    <cfRule type="containsBlanks" dxfId="1478" priority="518">
      <formula>LEN(TRIM(AY64))=0</formula>
    </cfRule>
  </conditionalFormatting>
  <conditionalFormatting sqref="BB64 AY64:AY65">
    <cfRule type="containsBlanks" dxfId="1477" priority="519">
      <formula>LEN(TRIM(AY64))=0</formula>
    </cfRule>
  </conditionalFormatting>
  <conditionalFormatting sqref="AW64:AW65 AZ64">
    <cfRule type="cellIs" dxfId="1476" priority="516" operator="lessThan">
      <formula>0.05</formula>
    </cfRule>
  </conditionalFormatting>
  <conditionalFormatting sqref="AX64:AX65 BA64">
    <cfRule type="cellIs" dxfId="1475" priority="515" operator="lessThan">
      <formula>0.05</formula>
    </cfRule>
  </conditionalFormatting>
  <conditionalFormatting sqref="X77">
    <cfRule type="containsBlanks" dxfId="1474" priority="481">
      <formula>LEN(TRIM(X77))=0</formula>
    </cfRule>
  </conditionalFormatting>
  <conditionalFormatting sqref="V78:BB78">
    <cfRule type="containsBlanks" dxfId="1473" priority="513">
      <formula>LEN(TRIM(V78))=0</formula>
    </cfRule>
    <cfRule type="containsBlanks" dxfId="1472" priority="514">
      <formula>LEN(TRIM(V78))=0</formula>
    </cfRule>
  </conditionalFormatting>
  <conditionalFormatting sqref="V78:BB78">
    <cfRule type="containsBlanks" dxfId="1471" priority="512">
      <formula>LEN(TRIM(V78))=0</formula>
    </cfRule>
  </conditionalFormatting>
  <conditionalFormatting sqref="W77 Z77 AC77 AF77 AI77 AL77 AO77 AR77 AU77 AX77 BA77">
    <cfRule type="cellIs" dxfId="1470" priority="477" operator="lessThan">
      <formula>0.05</formula>
    </cfRule>
  </conditionalFormatting>
  <conditionalFormatting sqref="X88 AA88 AD88 AG88 AJ88 AM88 AP88 AS88 AV88 AY88 BB88">
    <cfRule type="containsBlanks" dxfId="1469" priority="511">
      <formula>LEN(TRIM(X88))=0</formula>
    </cfRule>
  </conditionalFormatting>
  <conditionalFormatting sqref="X88 AA88 AD88 AG88 AJ88 AM88 AP88 AS88 AV88 AY88 BB88">
    <cfRule type="containsBlanks" dxfId="1468" priority="509">
      <formula>LEN(TRIM(X88))=0</formula>
    </cfRule>
    <cfRule type="containsBlanks" dxfId="1467" priority="510">
      <formula>LEN(TRIM(X88))=0</formula>
    </cfRule>
  </conditionalFormatting>
  <conditionalFormatting sqref="V88 Y88 AB88 AE88 AH88 AK88 AN88 AQ88 AT88 AW88 AZ88">
    <cfRule type="cellIs" dxfId="1466" priority="508" operator="lessThan">
      <formula>0.05</formula>
    </cfRule>
  </conditionalFormatting>
  <conditionalFormatting sqref="W88 Z88 AC88 AF88 AI88 AL88 AO88 AR88 AU88 AX88 BA88">
    <cfRule type="cellIs" dxfId="1465" priority="507" operator="lessThan">
      <formula>0.05</formula>
    </cfRule>
  </conditionalFormatting>
  <conditionalFormatting sqref="X66 AA66 AD66 AG66 AJ66 AM66 AP66 AS66 AV66 AY66 BB66">
    <cfRule type="containsBlanks" dxfId="1464" priority="506">
      <formula>LEN(TRIM(X66))=0</formula>
    </cfRule>
  </conditionalFormatting>
  <conditionalFormatting sqref="X66 AA66 AD66 AG66 AJ66 AM66 AP66 AS66 AV66 AY66 BB66">
    <cfRule type="containsBlanks" dxfId="1463" priority="504">
      <formula>LEN(TRIM(X66))=0</formula>
    </cfRule>
    <cfRule type="containsBlanks" dxfId="1462" priority="505">
      <formula>LEN(TRIM(X66))=0</formula>
    </cfRule>
  </conditionalFormatting>
  <conditionalFormatting sqref="V66 Y66 AB66 AE66 AH66 AK66 AN66 AQ66 AT66 AW66 AZ66">
    <cfRule type="cellIs" dxfId="1461" priority="503" operator="lessThan">
      <formula>0.05</formula>
    </cfRule>
  </conditionalFormatting>
  <conditionalFormatting sqref="W66 Z66 AC66 AF66 AI66 AL66 AO66 AR66 AU66 AX66 BA66">
    <cfRule type="cellIs" dxfId="1460" priority="502" operator="lessThan">
      <formula>0.05</formula>
    </cfRule>
  </conditionalFormatting>
  <conditionalFormatting sqref="X67 AA67 AD67 AG67 AJ67 AM67 AS67:AS68 AV67 AY67 AP67:AP68">
    <cfRule type="containsBlanks" dxfId="1459" priority="501">
      <formula>LEN(TRIM(X67))=0</formula>
    </cfRule>
  </conditionalFormatting>
  <conditionalFormatting sqref="X67 AA67 AD67 AG67 AJ67 AM67 AS67:AS68 AV67 AY67 AP67:AP68">
    <cfRule type="containsBlanks" dxfId="1458" priority="499">
      <formula>LEN(TRIM(X67))=0</formula>
    </cfRule>
    <cfRule type="containsBlanks" dxfId="1457" priority="500">
      <formula>LEN(TRIM(X67))=0</formula>
    </cfRule>
  </conditionalFormatting>
  <conditionalFormatting sqref="V67 Y67 AB67 AE67 AH67 AK67 AN67:AN68 AQ67:AQ68 AT67 AW67">
    <cfRule type="cellIs" dxfId="1456" priority="498" operator="lessThan">
      <formula>0.05</formula>
    </cfRule>
  </conditionalFormatting>
  <conditionalFormatting sqref="W67 Z67 AC67 AF67 AI67 AL67 AO67 AR67:AR68 AU67 AX67">
    <cfRule type="cellIs" dxfId="1455" priority="497" operator="lessThan">
      <formula>0.05</formula>
    </cfRule>
  </conditionalFormatting>
  <conditionalFormatting sqref="X69 AA69 AD69 AG69 AJ69 AM69 AP69 AS69 AV69 AY69 BB69">
    <cfRule type="containsBlanks" dxfId="1454" priority="496">
      <formula>LEN(TRIM(X69))=0</formula>
    </cfRule>
  </conditionalFormatting>
  <conditionalFormatting sqref="X69 AA69 AD69 AG69 AJ69 AM69 AP69 AS69 AV69 AY69 BB69">
    <cfRule type="containsBlanks" dxfId="1453" priority="494">
      <formula>LEN(TRIM(X69))=0</formula>
    </cfRule>
    <cfRule type="containsBlanks" dxfId="1452" priority="495">
      <formula>LEN(TRIM(X69))=0</formula>
    </cfRule>
  </conditionalFormatting>
  <conditionalFormatting sqref="V69 Y69 AB69 AE69 AH69 AK69 AN69 AQ69 AT69 AW69 AZ69">
    <cfRule type="cellIs" dxfId="1451" priority="493" operator="lessThan">
      <formula>0.05</formula>
    </cfRule>
  </conditionalFormatting>
  <conditionalFormatting sqref="W69 Z69 AC69 AF69 AI69 AL69 AO69 AR69 AU69 AX69 BA69">
    <cfRule type="cellIs" dxfId="1450" priority="492" operator="lessThan">
      <formula>0.05</formula>
    </cfRule>
  </conditionalFormatting>
  <conditionalFormatting sqref="X71 AA71 AD71 AG71 AJ71 AM71 AP71 AS71 AV71 AY71">
    <cfRule type="containsBlanks" dxfId="1449" priority="491">
      <formula>LEN(TRIM(X71))=0</formula>
    </cfRule>
  </conditionalFormatting>
  <conditionalFormatting sqref="X71 AA71 AD71 AG71 AJ71 AM71 AP71 AS71 AV71 AY71">
    <cfRule type="containsBlanks" dxfId="1448" priority="489">
      <formula>LEN(TRIM(X71))=0</formula>
    </cfRule>
    <cfRule type="containsBlanks" dxfId="1447" priority="490">
      <formula>LEN(TRIM(X71))=0</formula>
    </cfRule>
  </conditionalFormatting>
  <conditionalFormatting sqref="V71 Y71 AB71 AE71 AH71 AK71 AN71 AQ71 AT71 AW71">
    <cfRule type="cellIs" dxfId="1446" priority="488" operator="lessThan">
      <formula>0.05</formula>
    </cfRule>
  </conditionalFormatting>
  <conditionalFormatting sqref="W71 Z71 AC71 AF71 AI71 AL71 AO71 AR71 AU71 AX71">
    <cfRule type="cellIs" dxfId="1445" priority="487" operator="lessThan">
      <formula>0.05</formula>
    </cfRule>
  </conditionalFormatting>
  <conditionalFormatting sqref="X77">
    <cfRule type="containsBlanks" dxfId="1444" priority="479">
      <formula>LEN(TRIM(X77))=0</formula>
    </cfRule>
    <cfRule type="containsBlanks" dxfId="1443" priority="480">
      <formula>LEN(TRIM(X77))=0</formula>
    </cfRule>
  </conditionalFormatting>
  <conditionalFormatting sqref="V77 Y77 AB77 AE77 AH77 AK77 AN77 AQ77 AT77 AW77 AZ77">
    <cfRule type="cellIs" dxfId="1442" priority="478" operator="lessThan">
      <formula>0.05</formula>
    </cfRule>
  </conditionalFormatting>
  <conditionalFormatting sqref="X79:X81 AA79:AA81 AD79:AD81 AG79:AG81 AJ79:AJ81 AM79:AM81 AP79:AP81 AS80:AS81 AV80:AV81 AY80:AY81 BB80:BB81">
    <cfRule type="containsBlanks" dxfId="1441" priority="476">
      <formula>LEN(TRIM(X79))=0</formula>
    </cfRule>
  </conditionalFormatting>
  <conditionalFormatting sqref="X79:X81 AA79:AA81 AD79:AD81 AG79:AG81 AJ79:AJ81 AM79:AM81 AP79:AP81 AS80:AS81 AV80:AV81 AY80:AY81 BB80:BB81">
    <cfRule type="containsBlanks" dxfId="1440" priority="474">
      <formula>LEN(TRIM(X79))=0</formula>
    </cfRule>
    <cfRule type="containsBlanks" dxfId="1439" priority="475">
      <formula>LEN(TRIM(X79))=0</formula>
    </cfRule>
  </conditionalFormatting>
  <conditionalFormatting sqref="V79 Y79 AB79 AE79 AH79 AK79 AN79">
    <cfRule type="cellIs" dxfId="1438" priority="473" operator="lessThan">
      <formula>0.05</formula>
    </cfRule>
  </conditionalFormatting>
  <conditionalFormatting sqref="W79 Z79 AC79 AF79 AI79 AL79 AO79">
    <cfRule type="cellIs" dxfId="1437" priority="472" operator="lessThan">
      <formula>0.05</formula>
    </cfRule>
  </conditionalFormatting>
  <conditionalFormatting sqref="X82 AA82 AD82 AG82 AJ82 AM82 AP82 AS82 AV82 AY82 BB82">
    <cfRule type="containsBlanks" dxfId="1436" priority="471">
      <formula>LEN(TRIM(X82))=0</formula>
    </cfRule>
  </conditionalFormatting>
  <conditionalFormatting sqref="X82 AA82 AD82 AG82 AJ82 AM82 AP82 AS82 AV82 AY82 BB82">
    <cfRule type="containsBlanks" dxfId="1435" priority="469">
      <formula>LEN(TRIM(X82))=0</formula>
    </cfRule>
    <cfRule type="containsBlanks" dxfId="1434" priority="470">
      <formula>LEN(TRIM(X82))=0</formula>
    </cfRule>
  </conditionalFormatting>
  <conditionalFormatting sqref="X86 AA86 AD86 AG86 AJ86 AM86 AP86 AS86 AV86 AY86 BB86 X93:X96 BB93:BB96 AY93:AY96 AV93:AV96 AS93:AS96 AP93:AP96 AM93:AM94 AJ93:AJ94 AG93:AG94 AD93:AD96 AA93:AA96 AD98 AG98 AJ98 AM98 AP98 AS98 AV98 AY98 BB98 AD88:AD91 BB88:BB91 AY88:AY91 AV88:AV91 AS88:AS91 AP88:AP91 AM88:AM89 AJ88:AJ89 AG88:AG89 AG91 AJ91 AM91 AG96 AJ96 AM96 AA88:AA91 X88:X91 AA98 X98">
    <cfRule type="containsBlanks" dxfId="1433" priority="468">
      <formula>LEN(TRIM(X86))=0</formula>
    </cfRule>
  </conditionalFormatting>
  <conditionalFormatting sqref="X86 AA86 AD86 AG86 AJ86 AM86 AP86 AS86 AV86 AY86 BB86 X93:X96 BB93:BB96 AY93:AY96 AV93:AV96 AS93:AS96 AP93:AP96 AM93:AM94 AJ93:AJ94 AG93:AG94 AD93:AD96 AA93:AA96 AD98 AG98 AJ98 AM98 AP98 AS98 AV98 AY98 BB98 AD88:AD91 BB88:BB91 AY88:AY91 AV88:AV91 AS88:AS91 AP88:AP91 AM88:AM89 AJ88:AJ89 AG88:AG89 AG91 AJ91 AM91 AG96 AJ96 AM96 AA88:AA91 X88:X91 AA98 X98">
    <cfRule type="containsBlanks" dxfId="1432" priority="466">
      <formula>LEN(TRIM(X86))=0</formula>
    </cfRule>
    <cfRule type="containsBlanks" dxfId="1431" priority="467">
      <formula>LEN(TRIM(X86))=0</formula>
    </cfRule>
  </conditionalFormatting>
  <conditionalFormatting sqref="W89:W91 Z89:Z91 AC89:AC91 AF89 AI89 AL89 AO89:AO91 AR89:AR91 AU89:AU91 AX89:AX91 BA89:BA91 W93:W96 BA93:BA96 AX93:AX96 AU93:AU96 AR93:AR96 AO93:AO96 AL93:AL94 AI93:AI94 AF93:AF94 AC93:AC96 Z93:Z96 AC98 AF98 AI98 AL98 AO98 AR98 AU98 AX98 BA98 AL91 AI91 AF91 AF96 AI96 AL96 Z98 W98">
    <cfRule type="cellIs" dxfId="1430" priority="465" operator="lessThan">
      <formula>0.05</formula>
    </cfRule>
  </conditionalFormatting>
  <conditionalFormatting sqref="X74 AA74 AD74 AG74 AJ74 AM74 AP74">
    <cfRule type="containsBlanks" dxfId="1429" priority="464">
      <formula>LEN(TRIM(X74))=0</formula>
    </cfRule>
  </conditionalFormatting>
  <conditionalFormatting sqref="X74 AA74 AD74 AG74 AJ74 AM74 AP74">
    <cfRule type="containsBlanks" dxfId="1428" priority="462">
      <formula>LEN(TRIM(X74))=0</formula>
    </cfRule>
    <cfRule type="containsBlanks" dxfId="1427" priority="463">
      <formula>LEN(TRIM(X74))=0</formula>
    </cfRule>
  </conditionalFormatting>
  <conditionalFormatting sqref="V74 Y74 AB74 AE74 AH74 AK74 AN74">
    <cfRule type="cellIs" dxfId="1426" priority="461" operator="lessThan">
      <formula>0.05</formula>
    </cfRule>
  </conditionalFormatting>
  <conditionalFormatting sqref="W74 Z74 AC74 AF74 AI74 AL74 AO74">
    <cfRule type="cellIs" dxfId="1425" priority="460" operator="lessThan">
      <formula>0.05</formula>
    </cfRule>
  </conditionalFormatting>
  <conditionalFormatting sqref="V80:V82 Y80:Y82 AB80:AB82 AE80:AE82 AH80:AH82 AK80:AK82 AN80:AN82 AQ80:AQ82 AT80:AT82 AW80:AW82 AZ80:AZ82 V93:V96 AZ93:AZ96 AW93:AW96 AT93:AT96 AQ93:AQ96 AN93:AN96 AK93:AK94 AH93:AH94 AE93:AE94 AB93:AB96 Y93:Y96 AB98 AE98 AH98 AK98 AN98 AQ98 AT98 AW98 AZ98 AB88:AB91 AZ88:AZ91 AW88:AW91 AT88:AT91 AQ88:AQ91 AN88:AN91 AK88:AK89 AH88:AH89 AE88:AE89 AE91 AH91 AK91 AE96 AH96 AK96 AQ86 AZ86 AW86 AT86 AN86 AK86 AH86 AE86 AB86 Y86 V86 V88:V91 Y88:Y91 Y98 V98">
    <cfRule type="cellIs" dxfId="1424" priority="459" operator="lessThan">
      <formula>0.05</formula>
    </cfRule>
  </conditionalFormatting>
  <conditionalFormatting sqref="W80:W82 Z80:Z82 AC80:AC82 AF80:AF82 AI80:AI82 AL80:AL82 AO80:AO82 AR80:AR82 AU80:AU82 AX80:AX82 BA80:BA82 AC88 BA88 AX88 AU88 AR88 AO88 AL88 AI88 AF88 AR86 BA86 AX86 AU86 AO86 AL86 AI86 AF86 AC86 Z86 W86 W88 Z88">
    <cfRule type="cellIs" dxfId="1423" priority="458" operator="lessThan">
      <formula>0.05</formula>
    </cfRule>
  </conditionalFormatting>
  <conditionalFormatting sqref="M70">
    <cfRule type="containsBlanks" dxfId="1422" priority="457">
      <formula>LEN(TRIM(M70))=0</formula>
    </cfRule>
  </conditionalFormatting>
  <conditionalFormatting sqref="L70">
    <cfRule type="containsBlanks" dxfId="1421" priority="456">
      <formula>LEN(TRIM(L70))=0</formula>
    </cfRule>
  </conditionalFormatting>
  <conditionalFormatting sqref="L70">
    <cfRule type="containsBlanks" dxfId="1420" priority="455">
      <formula>LEN(TRIM(L70))=0</formula>
    </cfRule>
  </conditionalFormatting>
  <conditionalFormatting sqref="X70 AA70 AD70 AG70 AJ70 AM70 AP70 AS70 AV70 AY70 BB70">
    <cfRule type="containsBlanks" dxfId="1419" priority="454">
      <formula>LEN(TRIM(X70))=0</formula>
    </cfRule>
  </conditionalFormatting>
  <conditionalFormatting sqref="X70 AA70 AD70 AG70 AJ70 AM70 AP70 AS70 AV70 AY70 BB70">
    <cfRule type="containsBlanks" dxfId="1418" priority="452">
      <formula>LEN(TRIM(X70))=0</formula>
    </cfRule>
    <cfRule type="containsBlanks" dxfId="1417" priority="453">
      <formula>LEN(TRIM(X70))=0</formula>
    </cfRule>
  </conditionalFormatting>
  <conditionalFormatting sqref="V70 Y70 AB70 AE70 AH70 AK70 AN70 AQ70 AT70 AW70 AZ70">
    <cfRule type="cellIs" dxfId="1416" priority="451" operator="lessThan">
      <formula>0.05</formula>
    </cfRule>
  </conditionalFormatting>
  <conditionalFormatting sqref="W70 Z70 AC70 AF70 AI70 AL70 AO70 AR70 AU70 AX70 BA70">
    <cfRule type="cellIs" dxfId="1415" priority="450" operator="lessThan">
      <formula>0.05</formula>
    </cfRule>
  </conditionalFormatting>
  <conditionalFormatting sqref="M72">
    <cfRule type="containsBlanks" dxfId="1414" priority="449">
      <formula>LEN(TRIM(M72))=0</formula>
    </cfRule>
  </conditionalFormatting>
  <conditionalFormatting sqref="L72">
    <cfRule type="containsBlanks" dxfId="1413" priority="448">
      <formula>LEN(TRIM(L72))=0</formula>
    </cfRule>
  </conditionalFormatting>
  <conditionalFormatting sqref="L72">
    <cfRule type="containsBlanks" dxfId="1412" priority="447">
      <formula>LEN(TRIM(L72))=0</formula>
    </cfRule>
  </conditionalFormatting>
  <conditionalFormatting sqref="X72 AA72 AD72 AG72 AJ72 AM72 AP72 AS72 AV72 AY72 BB72">
    <cfRule type="containsBlanks" dxfId="1411" priority="438">
      <formula>LEN(TRIM(X72))=0</formula>
    </cfRule>
  </conditionalFormatting>
  <conditionalFormatting sqref="X72 AA72 AD72 AG72 AJ72 AM72 AP72 AS72 AV72 AY72 BB72">
    <cfRule type="containsBlanks" dxfId="1410" priority="436">
      <formula>LEN(TRIM(X72))=0</formula>
    </cfRule>
    <cfRule type="containsBlanks" dxfId="1409" priority="437">
      <formula>LEN(TRIM(X72))=0</formula>
    </cfRule>
  </conditionalFormatting>
  <conditionalFormatting sqref="U72">
    <cfRule type="containsBlanks" dxfId="1408" priority="443">
      <formula>LEN(TRIM(U72))=0</formula>
    </cfRule>
  </conditionalFormatting>
  <conditionalFormatting sqref="U72">
    <cfRule type="containsBlanks" dxfId="1407" priority="441">
      <formula>LEN(TRIM(U72))=0</formula>
    </cfRule>
    <cfRule type="containsBlanks" dxfId="1406" priority="442">
      <formula>LEN(TRIM(U72))=0</formula>
    </cfRule>
  </conditionalFormatting>
  <conditionalFormatting sqref="W72 Z72 AC72 AF72 AI72 AL72 AO72 AR72 AU72 AX72 BA72">
    <cfRule type="cellIs" dxfId="1405" priority="439" operator="lessThan">
      <formula>0.05</formula>
    </cfRule>
  </conditionalFormatting>
  <conditionalFormatting sqref="V72 Y72 AB72 AE72 AH72 AK72 AN72 AQ72 AT72 AW72 AZ72">
    <cfRule type="cellIs" dxfId="1404" priority="440" operator="lessThan">
      <formula>0.05</formula>
    </cfRule>
  </conditionalFormatting>
  <conditionalFormatting sqref="N49">
    <cfRule type="containsBlanks" dxfId="1403" priority="434">
      <formula>LEN(TRIM(N49))=0</formula>
    </cfRule>
  </conditionalFormatting>
  <conditionalFormatting sqref="Q49:Q50">
    <cfRule type="containsBlanks" dxfId="1402" priority="433">
      <formula>LEN(TRIM(Q49))=0</formula>
    </cfRule>
  </conditionalFormatting>
  <conditionalFormatting sqref="U52 X52 AA52 AD52 AG52 AJ52 AM52 AP52 AS52 AV52 AY52 BB52">
    <cfRule type="containsBlanks" dxfId="1401" priority="420">
      <formula>LEN(TRIM(U52))=0</formula>
    </cfRule>
  </conditionalFormatting>
  <conditionalFormatting sqref="S53 V53 Y53 AB53 AE53 AH53 AK53 AN53 AQ53 AT53 AW53 AZ53">
    <cfRule type="containsBlanks" dxfId="1400" priority="423">
      <formula>LEN(TRIM(S53))=0</formula>
    </cfRule>
  </conditionalFormatting>
  <conditionalFormatting sqref="S53:BB53">
    <cfRule type="cellIs" dxfId="1399" priority="427" operator="lessThan">
      <formula>0.05</formula>
    </cfRule>
  </conditionalFormatting>
  <conditionalFormatting sqref="S53:BB53">
    <cfRule type="containsBlanks" dxfId="1398" priority="425">
      <formula>LEN(TRIM(S53))=0</formula>
    </cfRule>
    <cfRule type="containsBlanks" dxfId="1397" priority="426">
      <formula>LEN(TRIM(S53))=0</formula>
    </cfRule>
  </conditionalFormatting>
  <conditionalFormatting sqref="S53:BB53">
    <cfRule type="containsBlanks" dxfId="1396" priority="424">
      <formula>LEN(TRIM(S53))=0</formula>
    </cfRule>
  </conditionalFormatting>
  <conditionalFormatting sqref="S52:T52 V52:W52 Y52:Z52 AB52:AC52 AE52:AF52 AH52:AI52 AK52:AL52 AN52:AO52 AQ52:AR52 AT52:AU52 AW52:AX52 AZ52:BA52">
    <cfRule type="cellIs" dxfId="1395" priority="422" operator="lessThan">
      <formula>0.05</formula>
    </cfRule>
  </conditionalFormatting>
  <conditionalFormatting sqref="U52 X52 AA52 AD52 AG52 AJ52 AM52 AP52 AS52 AV52 AY52 BB52">
    <cfRule type="cellIs" dxfId="1394" priority="421" operator="lessThan">
      <formula>0.05</formula>
    </cfRule>
  </conditionalFormatting>
  <conditionalFormatting sqref="T49:U51 W49:X51 Z49:AA51 AC49:AD51 AF49:AG51 AI49:AJ51 AL49:AM51 AO49:AP51 AR49:AS51 AU49:AV51 AX49:AY51 BA49:BB51">
    <cfRule type="cellIs" dxfId="1393" priority="419" operator="lessThan">
      <formula>0.05</formula>
    </cfRule>
  </conditionalFormatting>
  <conditionalFormatting sqref="N105:Q106">
    <cfRule type="containsBlanks" dxfId="1392" priority="418">
      <formula>LEN(TRIM(N105))=0</formula>
    </cfRule>
  </conditionalFormatting>
  <conditionalFormatting sqref="L105:M106">
    <cfRule type="containsBlanks" dxfId="1391" priority="417">
      <formula>LEN(TRIM(L105))=0</formula>
    </cfRule>
  </conditionalFormatting>
  <conditionalFormatting sqref="L105:M106">
    <cfRule type="containsBlanks" dxfId="1390" priority="416">
      <formula>LEN(TRIM(L105))=0</formula>
    </cfRule>
  </conditionalFormatting>
  <conditionalFormatting sqref="U105:U107">
    <cfRule type="containsBlanks" dxfId="1389" priority="415">
      <formula>LEN(TRIM(U105))=0</formula>
    </cfRule>
  </conditionalFormatting>
  <conditionalFormatting sqref="U105:U107">
    <cfRule type="containsBlanks" dxfId="1388" priority="413">
      <formula>LEN(TRIM(U105))=0</formula>
    </cfRule>
    <cfRule type="containsBlanks" dxfId="1387" priority="414">
      <formula>LEN(TRIM(U105))=0</formula>
    </cfRule>
  </conditionalFormatting>
  <conditionalFormatting sqref="S105:S106">
    <cfRule type="cellIs" dxfId="1386" priority="412" operator="lessThan">
      <formula>0.05</formula>
    </cfRule>
  </conditionalFormatting>
  <conditionalFormatting sqref="T105:T106">
    <cfRule type="cellIs" dxfId="1385" priority="411" operator="lessThan">
      <formula>0.05</formula>
    </cfRule>
  </conditionalFormatting>
  <conditionalFormatting sqref="L100">
    <cfRule type="containsBlanks" dxfId="1384" priority="405">
      <formula>LEN(TRIM(L100))=0</formula>
    </cfRule>
  </conditionalFormatting>
  <conditionalFormatting sqref="L100">
    <cfRule type="containsBlanks" dxfId="1383" priority="404">
      <formula>LEN(TRIM(L100))=0</formula>
    </cfRule>
  </conditionalFormatting>
  <conditionalFormatting sqref="L101:L102">
    <cfRule type="containsBlanks" dxfId="1382" priority="403">
      <formula>LEN(TRIM(L101))=0</formula>
    </cfRule>
  </conditionalFormatting>
  <conditionalFormatting sqref="L101:L102">
    <cfRule type="containsBlanks" dxfId="1381" priority="402">
      <formula>LEN(TRIM(L101))=0</formula>
    </cfRule>
  </conditionalFormatting>
  <conditionalFormatting sqref="L103">
    <cfRule type="containsBlanks" dxfId="1380" priority="401">
      <formula>LEN(TRIM(L103))=0</formula>
    </cfRule>
  </conditionalFormatting>
  <conditionalFormatting sqref="L103">
    <cfRule type="containsBlanks" dxfId="1379" priority="400">
      <formula>LEN(TRIM(L103))=0</formula>
    </cfRule>
  </conditionalFormatting>
  <conditionalFormatting sqref="M100:M103">
    <cfRule type="containsBlanks" dxfId="1378" priority="399">
      <formula>LEN(TRIM(M100))=0</formula>
    </cfRule>
  </conditionalFormatting>
  <conditionalFormatting sqref="M100:M103">
    <cfRule type="containsBlanks" dxfId="1377" priority="398">
      <formula>LEN(TRIM(M100))=0</formula>
    </cfRule>
  </conditionalFormatting>
  <conditionalFormatting sqref="X104 AA104 AD104 AG104 AJ104 AM104 AP104 AS104 AV104 AY104 BB104">
    <cfRule type="containsBlanks" dxfId="1376" priority="397">
      <formula>LEN(TRIM(X104))=0</formula>
    </cfRule>
  </conditionalFormatting>
  <conditionalFormatting sqref="X104 AA104 AD104 AG104 AJ104 AM104 AP104 AS104 AV104 AY104 BB104">
    <cfRule type="containsBlanks" dxfId="1375" priority="395">
      <formula>LEN(TRIM(X104))=0</formula>
    </cfRule>
    <cfRule type="containsBlanks" dxfId="1374" priority="396">
      <formula>LEN(TRIM(X104))=0</formula>
    </cfRule>
  </conditionalFormatting>
  <conditionalFormatting sqref="V104 Y104 AB104 AE104 AH104 AK104 AN104 AQ104 AT104 AW104 AZ104">
    <cfRule type="cellIs" dxfId="1373" priority="394" operator="lessThan">
      <formula>0.05</formula>
    </cfRule>
  </conditionalFormatting>
  <conditionalFormatting sqref="W104 Z104 AC104 AF104 AI104 AL104 AO104 AR104 AU104 AX104 BA104">
    <cfRule type="cellIs" dxfId="1372" priority="393" operator="lessThan">
      <formula>0.05</formula>
    </cfRule>
  </conditionalFormatting>
  <conditionalFormatting sqref="X100:X103 AA100:AA103 AD100:AD103 AG100:AG103 AJ100:AJ103 AM100:AM103 AP100:AP103 AS100:AS103 AV100:AV103 AY100:AY103 BB100:BB103">
    <cfRule type="containsBlanks" dxfId="1371" priority="392">
      <formula>LEN(TRIM(X100))=0</formula>
    </cfRule>
  </conditionalFormatting>
  <conditionalFormatting sqref="X100:X103 AA100:AA103 AD100:AD103 AG100:AG103 AJ100:AJ103 AM100:AM103 AP100:AP103 AS100:AS103 AV100:AV103 AY100:AY103 BB100:BB103">
    <cfRule type="containsBlanks" dxfId="1370" priority="390">
      <formula>LEN(TRIM(X100))=0</formula>
    </cfRule>
    <cfRule type="containsBlanks" dxfId="1369" priority="391">
      <formula>LEN(TRIM(X100))=0</formula>
    </cfRule>
  </conditionalFormatting>
  <conditionalFormatting sqref="W100:W103 Z100:Z103 AC100:AC103 AF100:AF103 AI100:AI103 AL100:AL103 AO100:AO103 AR100:AR103 AU100:AU103 AX100:AX103 BA100:BA103">
    <cfRule type="cellIs" dxfId="1368" priority="389" operator="lessThan">
      <formula>0.05</formula>
    </cfRule>
  </conditionalFormatting>
  <conditionalFormatting sqref="V100:V103 Y100:Y103 AB100:AB103 AE100:AE103 AH100:AH103 AK100:AK103 AN100:AN103 AQ100:AQ103 AT100:AT103 AW100:AW103 AZ100:AZ103">
    <cfRule type="cellIs" dxfId="1367" priority="388" operator="lessThan">
      <formula>0.05</formula>
    </cfRule>
  </conditionalFormatting>
  <conditionalFormatting sqref="X105:X106 AA105:AA106 AD105:AD106 AG105:AG106 AJ105:AJ106 AM105:AM106 AP105:AP106 AS105:AS106 AV105:AV106 AY105:AY106 BB105:BB106">
    <cfRule type="containsBlanks" dxfId="1366" priority="387">
      <formula>LEN(TRIM(X105))=0</formula>
    </cfRule>
  </conditionalFormatting>
  <conditionalFormatting sqref="X105:X106 AA105:AA106 AD105:AD106 AG105:AG106 AJ105:AJ106 AM105:AM106 AP105:AP106 AS105:AS106 AV105:AV106 AY105:AY106 BB105:BB106">
    <cfRule type="containsBlanks" dxfId="1365" priority="385">
      <formula>LEN(TRIM(X105))=0</formula>
    </cfRule>
    <cfRule type="containsBlanks" dxfId="1364" priority="386">
      <formula>LEN(TRIM(X105))=0</formula>
    </cfRule>
  </conditionalFormatting>
  <conditionalFormatting sqref="V105:V106 Y105:Y106 AB105:AB106 AE105:AE106 AH105:AH106 AK105:AK106 AN105:AN106 AQ105:AQ106 AT105:AT106 AW105:AW106 AZ105:AZ106">
    <cfRule type="cellIs" dxfId="1363" priority="384" operator="lessThan">
      <formula>0.05</formula>
    </cfRule>
  </conditionalFormatting>
  <conditionalFormatting sqref="W105:W106 Z105:Z106 AC105:AC106 AF105:AF106 AI105:AI106 AL105:AL106 AO105:AO106 AR105:AR106 AU105:AU106 AX105:AX106 BA105:BA106">
    <cfRule type="cellIs" dxfId="1362" priority="383" operator="lessThan">
      <formula>0.05</formula>
    </cfRule>
  </conditionalFormatting>
  <conditionalFormatting sqref="AM77 AP77 AS77 AV77 AY77 BB77">
    <cfRule type="cellIs" dxfId="1361" priority="382" operator="lessThan">
      <formula>0.05</formula>
    </cfRule>
  </conditionalFormatting>
  <conditionalFormatting sqref="AJ77 AG77 AD77 AA77">
    <cfRule type="cellIs" dxfId="1360" priority="381" operator="lessThan">
      <formula>0.05</formula>
    </cfRule>
  </conditionalFormatting>
  <conditionalFormatting sqref="N107:Q107">
    <cfRule type="containsBlanks" dxfId="1359" priority="380">
      <formula>LEN(TRIM(N107))=0</formula>
    </cfRule>
  </conditionalFormatting>
  <conditionalFormatting sqref="S107">
    <cfRule type="cellIs" dxfId="1358" priority="374" operator="lessThan">
      <formula>0.05</formula>
    </cfRule>
  </conditionalFormatting>
  <conditionalFormatting sqref="T107">
    <cfRule type="cellIs" dxfId="1357" priority="373" operator="lessThan">
      <formula>0.05</formula>
    </cfRule>
  </conditionalFormatting>
  <conditionalFormatting sqref="L107:M107">
    <cfRule type="containsBlanks" dxfId="1356" priority="367">
      <formula>LEN(TRIM(L107))=0</formula>
    </cfRule>
  </conditionalFormatting>
  <conditionalFormatting sqref="L107:M107">
    <cfRule type="containsBlanks" dxfId="1355" priority="366">
      <formula>LEN(TRIM(L107))=0</formula>
    </cfRule>
  </conditionalFormatting>
  <conditionalFormatting sqref="X107 AA107 AD107 AG107 AJ107 AM107 AP107 AS107 AV107 AY107 BB107">
    <cfRule type="containsBlanks" dxfId="1354" priority="365">
      <formula>LEN(TRIM(X107))=0</formula>
    </cfRule>
  </conditionalFormatting>
  <conditionalFormatting sqref="X107 AA107 AD107 AG107 AJ107 AM107 AP107 AS107 AV107 AY107 BB107">
    <cfRule type="containsBlanks" dxfId="1353" priority="363">
      <formula>LEN(TRIM(X107))=0</formula>
    </cfRule>
    <cfRule type="containsBlanks" dxfId="1352" priority="364">
      <formula>LEN(TRIM(X107))=0</formula>
    </cfRule>
  </conditionalFormatting>
  <conditionalFormatting sqref="V107 Y107 AB107 AE107 AH107 AK107 AN107 AQ107 AT107 AW107 AZ107">
    <cfRule type="cellIs" dxfId="1351" priority="362" operator="lessThan">
      <formula>0.05</formula>
    </cfRule>
  </conditionalFormatting>
  <conditionalFormatting sqref="W107 Z107 AC107 AF107 AI107 AL107 AO107 AR107 AU107 AX107 BA107">
    <cfRule type="cellIs" dxfId="1350" priority="361" operator="lessThan">
      <formula>0.05</formula>
    </cfRule>
  </conditionalFormatting>
  <conditionalFormatting sqref="X92">
    <cfRule type="containsBlanks" dxfId="1349" priority="360">
      <formula>LEN(TRIM(X92))=0</formula>
    </cfRule>
  </conditionalFormatting>
  <conditionalFormatting sqref="X92">
    <cfRule type="containsBlanks" dxfId="1348" priority="358">
      <formula>LEN(TRIM(X92))=0</formula>
    </cfRule>
    <cfRule type="containsBlanks" dxfId="1347" priority="359">
      <formula>LEN(TRIM(X92))=0</formula>
    </cfRule>
  </conditionalFormatting>
  <conditionalFormatting sqref="W92">
    <cfRule type="cellIs" dxfId="1346" priority="357" operator="lessThan">
      <formula>0.05</formula>
    </cfRule>
  </conditionalFormatting>
  <conditionalFormatting sqref="V92">
    <cfRule type="cellIs" dxfId="1345" priority="356" operator="lessThan">
      <formula>0.05</formula>
    </cfRule>
  </conditionalFormatting>
  <conditionalFormatting sqref="AA92 AD92 AG92 AJ92 AM92">
    <cfRule type="containsBlanks" dxfId="1344" priority="355">
      <formula>LEN(TRIM(AA92))=0</formula>
    </cfRule>
  </conditionalFormatting>
  <conditionalFormatting sqref="AA92 AD92 AG92 AJ92 AM92">
    <cfRule type="containsBlanks" dxfId="1343" priority="353">
      <formula>LEN(TRIM(AA92))=0</formula>
    </cfRule>
    <cfRule type="containsBlanks" dxfId="1342" priority="354">
      <formula>LEN(TRIM(AA92))=0</formula>
    </cfRule>
  </conditionalFormatting>
  <conditionalFormatting sqref="Z92 AC92 AF92 AI92 AL92">
    <cfRule type="cellIs" dxfId="1341" priority="352" operator="lessThan">
      <formula>0.05</formula>
    </cfRule>
  </conditionalFormatting>
  <conditionalFormatting sqref="Y92 AB92 AE92 AH92 AK92">
    <cfRule type="cellIs" dxfId="1340" priority="351" operator="lessThan">
      <formula>0.05</formula>
    </cfRule>
  </conditionalFormatting>
  <conditionalFormatting sqref="N73:Q73">
    <cfRule type="containsBlanks" dxfId="1339" priority="350">
      <formula>LEN(TRIM(N73))=0</formula>
    </cfRule>
  </conditionalFormatting>
  <conditionalFormatting sqref="M73">
    <cfRule type="containsBlanks" dxfId="1338" priority="347">
      <formula>LEN(TRIM(M73))=0</formula>
    </cfRule>
  </conditionalFormatting>
  <conditionalFormatting sqref="L73">
    <cfRule type="containsBlanks" dxfId="1337" priority="346">
      <formula>LEN(TRIM(L73))=0</formula>
    </cfRule>
  </conditionalFormatting>
  <conditionalFormatting sqref="L73">
    <cfRule type="containsBlanks" dxfId="1336" priority="345">
      <formula>LEN(TRIM(L73))=0</formula>
    </cfRule>
  </conditionalFormatting>
  <conditionalFormatting sqref="X73">
    <cfRule type="containsBlanks" dxfId="1335" priority="339">
      <formula>LEN(TRIM(X73))=0</formula>
    </cfRule>
  </conditionalFormatting>
  <conditionalFormatting sqref="X73">
    <cfRule type="containsBlanks" dxfId="1334" priority="337">
      <formula>LEN(TRIM(X73))=0</formula>
    </cfRule>
    <cfRule type="containsBlanks" dxfId="1333" priority="338">
      <formula>LEN(TRIM(X73))=0</formula>
    </cfRule>
  </conditionalFormatting>
  <conditionalFormatting sqref="W73">
    <cfRule type="cellIs" dxfId="1332" priority="340" operator="lessThan">
      <formula>0.05</formula>
    </cfRule>
  </conditionalFormatting>
  <conditionalFormatting sqref="V73">
    <cfRule type="cellIs" dxfId="1331" priority="341" operator="lessThan">
      <formula>0.05</formula>
    </cfRule>
  </conditionalFormatting>
  <conditionalFormatting sqref="AA73 AD73 AG73 AJ73 AM73 AP73 AS73 AV73 AY73 BB73">
    <cfRule type="containsBlanks" dxfId="1330" priority="329">
      <formula>LEN(TRIM(AA73))=0</formula>
    </cfRule>
  </conditionalFormatting>
  <conditionalFormatting sqref="AA73 AD73 AG73 AJ73 AM73 AP73 AS73 AV73 AY73 BB73">
    <cfRule type="containsBlanks" dxfId="1329" priority="327">
      <formula>LEN(TRIM(AA73))=0</formula>
    </cfRule>
    <cfRule type="containsBlanks" dxfId="1328" priority="328">
      <formula>LEN(TRIM(AA73))=0</formula>
    </cfRule>
  </conditionalFormatting>
  <conditionalFormatting sqref="Z73 AC73 AF73 AI73 AL73 AO73 AR73 AU73 AX73 BA73">
    <cfRule type="cellIs" dxfId="1327" priority="330" operator="lessThan">
      <formula>0.05</formula>
    </cfRule>
  </conditionalFormatting>
  <conditionalFormatting sqref="Y73 AB73 AE73 AH73 AK73 AN73 AQ73 AT73 AW73 AZ73">
    <cfRule type="cellIs" dxfId="1326" priority="331" operator="lessThan">
      <formula>0.05</formula>
    </cfRule>
  </conditionalFormatting>
  <conditionalFormatting sqref="N76:Q76">
    <cfRule type="containsBlanks" dxfId="1325" priority="326">
      <formula>LEN(TRIM(N76))=0</formula>
    </cfRule>
  </conditionalFormatting>
  <conditionalFormatting sqref="L76:M76">
    <cfRule type="containsBlanks" dxfId="1324" priority="325">
      <formula>LEN(TRIM(L76))=0</formula>
    </cfRule>
  </conditionalFormatting>
  <conditionalFormatting sqref="L76:M76">
    <cfRule type="containsBlanks" dxfId="1323" priority="324">
      <formula>LEN(TRIM(L76))=0</formula>
    </cfRule>
  </conditionalFormatting>
  <conditionalFormatting sqref="X76">
    <cfRule type="containsBlanks" dxfId="1322" priority="318">
      <formula>LEN(TRIM(X76))=0</formula>
    </cfRule>
  </conditionalFormatting>
  <conditionalFormatting sqref="X76">
    <cfRule type="containsBlanks" dxfId="1321" priority="316">
      <formula>LEN(TRIM(X76))=0</formula>
    </cfRule>
    <cfRule type="containsBlanks" dxfId="1320" priority="317">
      <formula>LEN(TRIM(X76))=0</formula>
    </cfRule>
  </conditionalFormatting>
  <conditionalFormatting sqref="V76">
    <cfRule type="cellIs" dxfId="1319" priority="315" operator="lessThan">
      <formula>0.05</formula>
    </cfRule>
  </conditionalFormatting>
  <conditionalFormatting sqref="W76">
    <cfRule type="cellIs" dxfId="1318" priority="314" operator="lessThan">
      <formula>0.05</formula>
    </cfRule>
  </conditionalFormatting>
  <conditionalFormatting sqref="AA76 AD76 AG76 AJ76 AM76 AP76">
    <cfRule type="containsBlanks" dxfId="1317" priority="313">
      <formula>LEN(TRIM(AA76))=0</formula>
    </cfRule>
  </conditionalFormatting>
  <conditionalFormatting sqref="AA76 AD76 AG76 AJ76 AM76 AP76">
    <cfRule type="containsBlanks" dxfId="1316" priority="311">
      <formula>LEN(TRIM(AA76))=0</formula>
    </cfRule>
    <cfRule type="containsBlanks" dxfId="1315" priority="312">
      <formula>LEN(TRIM(AA76))=0</formula>
    </cfRule>
  </conditionalFormatting>
  <conditionalFormatting sqref="Y76 AB76 AE76 AH76 AK76 AN76">
    <cfRule type="cellIs" dxfId="1314" priority="310" operator="lessThan">
      <formula>0.05</formula>
    </cfRule>
  </conditionalFormatting>
  <conditionalFormatting sqref="Z76 AC76 AF76 AI76 AL76 AO76">
    <cfRule type="cellIs" dxfId="1313" priority="309" operator="lessThan">
      <formula>0.05</formula>
    </cfRule>
  </conditionalFormatting>
  <conditionalFormatting sqref="S31 U31:V31 X31 AA31:AB31 AD31:AE31 AG31:AH31 AJ31:AK31 AM31:AN31 AP31:AQ31 AS31:AT31 AV31:AW31 AY31:AZ31 BB31">
    <cfRule type="cellIs" dxfId="1312" priority="308" operator="lessThan">
      <formula>0.05</formula>
    </cfRule>
  </conditionalFormatting>
  <conditionalFormatting sqref="N31:Q31">
    <cfRule type="containsBlanks" dxfId="1311" priority="307">
      <formula>LEN(TRIM(N31))=0</formula>
    </cfRule>
  </conditionalFormatting>
  <conditionalFormatting sqref="L31:M31">
    <cfRule type="containsBlanks" dxfId="1310" priority="306">
      <formula>LEN(TRIM(L31))=0</formula>
    </cfRule>
  </conditionalFormatting>
  <conditionalFormatting sqref="Q97">
    <cfRule type="containsBlanks" dxfId="1309" priority="305">
      <formula>LEN(TRIM(Q97))=0</formula>
    </cfRule>
  </conditionalFormatting>
  <conditionalFormatting sqref="AD97 AG97 AJ97 AM97 AP97 AS97 AV97 AY97">
    <cfRule type="containsBlanks" dxfId="1308" priority="304">
      <formula>LEN(TRIM(AD97))=0</formula>
    </cfRule>
  </conditionalFormatting>
  <conditionalFormatting sqref="AD97 AG97 AJ97 AM97 AP97 AS97 AV97 AY97">
    <cfRule type="containsBlanks" dxfId="1307" priority="302">
      <formula>LEN(TRIM(AD97))=0</formula>
    </cfRule>
    <cfRule type="containsBlanks" dxfId="1306" priority="303">
      <formula>LEN(TRIM(AD97))=0</formula>
    </cfRule>
  </conditionalFormatting>
  <conditionalFormatting sqref="AC97 AF97 AI97 AL97 AO97 AR97 AU97 AX97">
    <cfRule type="cellIs" dxfId="1305" priority="301" operator="lessThan">
      <formula>0.05</formula>
    </cfRule>
  </conditionalFormatting>
  <conditionalFormatting sqref="AB97 AE97 AH97 AK97 AN97 AQ97 AT97 AW97">
    <cfRule type="cellIs" dxfId="1304" priority="300" operator="lessThan">
      <formula>0.05</formula>
    </cfRule>
  </conditionalFormatting>
  <conditionalFormatting sqref="M87">
    <cfRule type="containsBlanks" dxfId="1303" priority="299">
      <formula>LEN(TRIM(M87))=0</formula>
    </cfRule>
  </conditionalFormatting>
  <conditionalFormatting sqref="M87">
    <cfRule type="containsBlanks" dxfId="1302" priority="298">
      <formula>LEN(TRIM(M87))=0</formula>
    </cfRule>
  </conditionalFormatting>
  <conditionalFormatting sqref="AD87">
    <cfRule type="containsBlanks" dxfId="1301" priority="297">
      <formula>LEN(TRIM(AD87))=0</formula>
    </cfRule>
  </conditionalFormatting>
  <conditionalFormatting sqref="AD87">
    <cfRule type="containsBlanks" dxfId="1300" priority="295">
      <formula>LEN(TRIM(AD87))=0</formula>
    </cfRule>
    <cfRule type="containsBlanks" dxfId="1299" priority="296">
      <formula>LEN(TRIM(AD87))=0</formula>
    </cfRule>
  </conditionalFormatting>
  <conditionalFormatting sqref="AB87">
    <cfRule type="cellIs" dxfId="1298" priority="294" operator="lessThan">
      <formula>0.05</formula>
    </cfRule>
  </conditionalFormatting>
  <conditionalFormatting sqref="AC87">
    <cfRule type="cellIs" dxfId="1297" priority="293" operator="lessThan">
      <formula>0.05</formula>
    </cfRule>
  </conditionalFormatting>
  <conditionalFormatting sqref="AG87 AJ87 AM87 AP87">
    <cfRule type="containsBlanks" dxfId="1296" priority="292">
      <formula>LEN(TRIM(AG87))=0</formula>
    </cfRule>
  </conditionalFormatting>
  <conditionalFormatting sqref="AG87 AJ87 AM87 AP87">
    <cfRule type="containsBlanks" dxfId="1295" priority="290">
      <formula>LEN(TRIM(AG87))=0</formula>
    </cfRule>
    <cfRule type="containsBlanks" dxfId="1294" priority="291">
      <formula>LEN(TRIM(AG87))=0</formula>
    </cfRule>
  </conditionalFormatting>
  <conditionalFormatting sqref="AE87 AH87 AK87 AN87">
    <cfRule type="cellIs" dxfId="1293" priority="289" operator="lessThan">
      <formula>0.05</formula>
    </cfRule>
  </conditionalFormatting>
  <conditionalFormatting sqref="AF87 AI87 AL87 AO87">
    <cfRule type="cellIs" dxfId="1292" priority="288" operator="lessThan">
      <formula>0.05</formula>
    </cfRule>
  </conditionalFormatting>
  <conditionalFormatting sqref="S14:BB25">
    <cfRule type="cellIs" dxfId="1291" priority="287" operator="lessThan">
      <formula>0.05</formula>
    </cfRule>
  </conditionalFormatting>
  <conditionalFormatting sqref="S19:S25 V19:V25 Y19:Y25 AE19:AE25 AK19:AK25 AQ19:AQ25 AW19:AW25 AB19:AB25 AH19:AH25 AN19:AN25 AT19:AT25 AZ19:AZ25">
    <cfRule type="containsBlanks" dxfId="1290" priority="286">
      <formula>LEN(TRIM(S19))=0</formula>
    </cfRule>
  </conditionalFormatting>
  <conditionalFormatting sqref="N14:Q14">
    <cfRule type="containsBlanks" dxfId="1289" priority="283">
      <formula>LEN(TRIM(N14))=0</formula>
    </cfRule>
  </conditionalFormatting>
  <conditionalFormatting sqref="U19:U25 X19:X25 AA19:AA25 AG19:AG25 AM19:AM25 AS19:AS25 AY19:AY25 AD19:AD25 AJ19:AJ25 AP19:AP25 AV19:AV25 BB19:BB25">
    <cfRule type="cellIs" dxfId="1288" priority="282" operator="lessThan">
      <formula>0.05</formula>
    </cfRule>
  </conditionalFormatting>
  <conditionalFormatting sqref="U19:U25 X19:X25 AA19:AA25 AG19:AG25 AM19:AM25 AS19:AS25 AY19:AY25 AD19:AD25 AJ19:AJ25 AP19:AP25 AV19:AV25 BB19:BB25">
    <cfRule type="containsBlanks" dxfId="1287" priority="280">
      <formula>LEN(TRIM(U19))=0</formula>
    </cfRule>
    <cfRule type="containsBlanks" dxfId="1286" priority="281">
      <formula>LEN(TRIM(U19))=0</formula>
    </cfRule>
  </conditionalFormatting>
  <conditionalFormatting sqref="T31">
    <cfRule type="cellIs" dxfId="1285" priority="279" operator="lessThan">
      <formula>0.05</formula>
    </cfRule>
  </conditionalFormatting>
  <conditionalFormatting sqref="W32:W33 W30">
    <cfRule type="cellIs" dxfId="1284" priority="278" operator="lessThan">
      <formula>0.05</formula>
    </cfRule>
  </conditionalFormatting>
  <conditionalFormatting sqref="W31">
    <cfRule type="cellIs" dxfId="1283" priority="277" operator="lessThan">
      <formula>0.05</formula>
    </cfRule>
  </conditionalFormatting>
  <conditionalFormatting sqref="AC30:AC33">
    <cfRule type="cellIs" dxfId="1282" priority="276" operator="lessThan">
      <formula>0.05</formula>
    </cfRule>
  </conditionalFormatting>
  <conditionalFormatting sqref="AF30:AF33">
    <cfRule type="cellIs" dxfId="1281" priority="275" operator="lessThan">
      <formula>0.05</formula>
    </cfRule>
  </conditionalFormatting>
  <conditionalFormatting sqref="AI30:AI33">
    <cfRule type="cellIs" dxfId="1280" priority="274" operator="lessThan">
      <formula>0.05</formula>
    </cfRule>
  </conditionalFormatting>
  <conditionalFormatting sqref="AL30:AL33">
    <cfRule type="cellIs" dxfId="1279" priority="273" operator="lessThan">
      <formula>0.05</formula>
    </cfRule>
  </conditionalFormatting>
  <conditionalFormatting sqref="AO30:AO33">
    <cfRule type="cellIs" dxfId="1278" priority="272" operator="lessThan">
      <formula>0.05</formula>
    </cfRule>
  </conditionalFormatting>
  <conditionalFormatting sqref="AR30:AR33">
    <cfRule type="cellIs" dxfId="1277" priority="271" operator="lessThan">
      <formula>0.05</formula>
    </cfRule>
  </conditionalFormatting>
  <conditionalFormatting sqref="AU30:AU33">
    <cfRule type="cellIs" dxfId="1276" priority="270" operator="lessThan">
      <formula>0.05</formula>
    </cfRule>
  </conditionalFormatting>
  <conditionalFormatting sqref="AX30:AX33">
    <cfRule type="cellIs" dxfId="1275" priority="269" operator="lessThan">
      <formula>0.05</formula>
    </cfRule>
  </conditionalFormatting>
  <conditionalFormatting sqref="BA30:BA33">
    <cfRule type="cellIs" dxfId="1274" priority="268" operator="lessThan">
      <formula>0.05</formula>
    </cfRule>
  </conditionalFormatting>
  <conditionalFormatting sqref="BA43:BA45">
    <cfRule type="cellIs" dxfId="1273" priority="267" operator="lessThan">
      <formula>0.05</formula>
    </cfRule>
  </conditionalFormatting>
  <conditionalFormatting sqref="AX42">
    <cfRule type="cellIs" dxfId="1272" priority="266" operator="lessThan">
      <formula>0.05</formula>
    </cfRule>
  </conditionalFormatting>
  <conditionalFormatting sqref="AX43:AX45">
    <cfRule type="cellIs" dxfId="1271" priority="265" operator="lessThan">
      <formula>0.05</formula>
    </cfRule>
  </conditionalFormatting>
  <conditionalFormatting sqref="AU42">
    <cfRule type="cellIs" dxfId="1270" priority="264" operator="lessThan">
      <formula>0.05</formula>
    </cfRule>
  </conditionalFormatting>
  <conditionalFormatting sqref="AU43:AU45">
    <cfRule type="cellIs" dxfId="1269" priority="263" operator="lessThan">
      <formula>0.05</formula>
    </cfRule>
  </conditionalFormatting>
  <conditionalFormatting sqref="AR42">
    <cfRule type="cellIs" dxfId="1268" priority="262" operator="lessThan">
      <formula>0.05</formula>
    </cfRule>
  </conditionalFormatting>
  <conditionalFormatting sqref="AR43:AR45">
    <cfRule type="cellIs" dxfId="1267" priority="261" operator="lessThan">
      <formula>0.05</formula>
    </cfRule>
  </conditionalFormatting>
  <conditionalFormatting sqref="AO42">
    <cfRule type="cellIs" dxfId="1266" priority="260" operator="lessThan">
      <formula>0.05</formula>
    </cfRule>
  </conditionalFormatting>
  <conditionalFormatting sqref="AO43:AO45">
    <cfRule type="cellIs" dxfId="1265" priority="259" operator="lessThan">
      <formula>0.05</formula>
    </cfRule>
  </conditionalFormatting>
  <conditionalFormatting sqref="AL42">
    <cfRule type="cellIs" dxfId="1264" priority="258" operator="lessThan">
      <formula>0.05</formula>
    </cfRule>
  </conditionalFormatting>
  <conditionalFormatting sqref="AL43:AL45">
    <cfRule type="cellIs" dxfId="1263" priority="257" operator="lessThan">
      <formula>0.05</formula>
    </cfRule>
  </conditionalFormatting>
  <conditionalFormatting sqref="AI42">
    <cfRule type="cellIs" dxfId="1262" priority="256" operator="lessThan">
      <formula>0.05</formula>
    </cfRule>
  </conditionalFormatting>
  <conditionalFormatting sqref="AI43:AI45">
    <cfRule type="cellIs" dxfId="1261" priority="255" operator="lessThan">
      <formula>0.05</formula>
    </cfRule>
  </conditionalFormatting>
  <conditionalFormatting sqref="AF42">
    <cfRule type="cellIs" dxfId="1260" priority="252" operator="lessThan">
      <formula>0.05</formula>
    </cfRule>
  </conditionalFormatting>
  <conditionalFormatting sqref="AF43:AF45">
    <cfRule type="cellIs" dxfId="1259" priority="251" operator="lessThan">
      <formula>0.05</formula>
    </cfRule>
  </conditionalFormatting>
  <conditionalFormatting sqref="AC42">
    <cfRule type="cellIs" dxfId="1258" priority="250" operator="lessThan">
      <formula>0.05</formula>
    </cfRule>
  </conditionalFormatting>
  <conditionalFormatting sqref="AC43:AC45">
    <cfRule type="cellIs" dxfId="1257" priority="249" operator="lessThan">
      <formula>0.05</formula>
    </cfRule>
  </conditionalFormatting>
  <conditionalFormatting sqref="Z42">
    <cfRule type="cellIs" dxfId="1256" priority="248" operator="lessThan">
      <formula>0.05</formula>
    </cfRule>
  </conditionalFormatting>
  <conditionalFormatting sqref="Z43:Z45">
    <cfRule type="cellIs" dxfId="1255" priority="247" operator="lessThan">
      <formula>0.05</formula>
    </cfRule>
  </conditionalFormatting>
  <conditionalFormatting sqref="W42">
    <cfRule type="cellIs" dxfId="1254" priority="246" operator="lessThan">
      <formula>0.05</formula>
    </cfRule>
  </conditionalFormatting>
  <conditionalFormatting sqref="W43:W45">
    <cfRule type="cellIs" dxfId="1253" priority="245" operator="lessThan">
      <formula>0.05</formula>
    </cfRule>
  </conditionalFormatting>
  <conditionalFormatting sqref="T42">
    <cfRule type="cellIs" dxfId="1252" priority="244" operator="lessThan">
      <formula>0.05</formula>
    </cfRule>
  </conditionalFormatting>
  <conditionalFormatting sqref="T43:T45">
    <cfRule type="cellIs" dxfId="1251" priority="243" operator="lessThan">
      <formula>0.05</formula>
    </cfRule>
  </conditionalFormatting>
  <conditionalFormatting sqref="N75:Q75">
    <cfRule type="containsBlanks" dxfId="1250" priority="242">
      <formula>LEN(TRIM(N75))=0</formula>
    </cfRule>
  </conditionalFormatting>
  <conditionalFormatting sqref="L75:M75">
    <cfRule type="containsBlanks" dxfId="1249" priority="241">
      <formula>LEN(TRIM(L75))=0</formula>
    </cfRule>
  </conditionalFormatting>
  <conditionalFormatting sqref="L75:M75">
    <cfRule type="containsBlanks" dxfId="1248" priority="240">
      <formula>LEN(TRIM(L75))=0</formula>
    </cfRule>
  </conditionalFormatting>
  <conditionalFormatting sqref="AJ75 AM75 AP75 AS75 AV75 AY75 BB75">
    <cfRule type="containsBlanks" dxfId="1247" priority="234">
      <formula>LEN(TRIM(AJ75))=0</formula>
    </cfRule>
  </conditionalFormatting>
  <conditionalFormatting sqref="AJ75 AM75 AP75 AS75 AV75 AY75 BB75">
    <cfRule type="containsBlanks" dxfId="1246" priority="232">
      <formula>LEN(TRIM(AJ75))=0</formula>
    </cfRule>
    <cfRule type="containsBlanks" dxfId="1245" priority="233">
      <formula>LEN(TRIM(AJ75))=0</formula>
    </cfRule>
  </conditionalFormatting>
  <conditionalFormatting sqref="AH75 AK75 AN75 AQ75 AT75 AW75 AZ75">
    <cfRule type="cellIs" dxfId="1244" priority="231" operator="lessThan">
      <formula>0.05</formula>
    </cfRule>
  </conditionalFormatting>
  <conditionalFormatting sqref="AI75 AL75 AO75 AR75 AU75 AX75 BA75">
    <cfRule type="cellIs" dxfId="1243" priority="230" operator="lessThan">
      <formula>0.05</formula>
    </cfRule>
  </conditionalFormatting>
  <conditionalFormatting sqref="S75:AG75">
    <cfRule type="containsBlanks" dxfId="1242" priority="228">
      <formula>LEN(TRIM(S75))=0</formula>
    </cfRule>
    <cfRule type="containsBlanks" dxfId="1241" priority="229">
      <formula>LEN(TRIM(S75))=0</formula>
    </cfRule>
  </conditionalFormatting>
  <conditionalFormatting sqref="S75:AG75">
    <cfRule type="containsBlanks" dxfId="1240" priority="227">
      <formula>LEN(TRIM(S75))=0</formula>
    </cfRule>
  </conditionalFormatting>
  <conditionalFormatting sqref="AE90:AM90">
    <cfRule type="containsBlanks" dxfId="1239" priority="225">
      <formula>LEN(TRIM(AE90))=0</formula>
    </cfRule>
    <cfRule type="containsBlanks" dxfId="1238" priority="226">
      <formula>LEN(TRIM(AE90))=0</formula>
    </cfRule>
  </conditionalFormatting>
  <conditionalFormatting sqref="AE90:AM90">
    <cfRule type="containsBlanks" dxfId="1237" priority="224">
      <formula>LEN(TRIM(AE90))=0</formula>
    </cfRule>
  </conditionalFormatting>
  <conditionalFormatting sqref="AE95:AJ95">
    <cfRule type="containsBlanks" dxfId="1236" priority="222">
      <formula>LEN(TRIM(AE95))=0</formula>
    </cfRule>
    <cfRule type="containsBlanks" dxfId="1235" priority="223">
      <formula>LEN(TRIM(AE95))=0</formula>
    </cfRule>
  </conditionalFormatting>
  <conditionalFormatting sqref="AE95:AJ95">
    <cfRule type="containsBlanks" dxfId="1234" priority="221">
      <formula>LEN(TRIM(AE95))=0</formula>
    </cfRule>
  </conditionalFormatting>
  <conditionalFormatting sqref="N50">
    <cfRule type="containsBlanks" dxfId="1233" priority="220">
      <formula>LEN(TRIM(N50))=0</formula>
    </cfRule>
  </conditionalFormatting>
  <conditionalFormatting sqref="AQ74:BB74">
    <cfRule type="containsBlanks" dxfId="1232" priority="218">
      <formula>LEN(TRIM(AQ74))=0</formula>
    </cfRule>
    <cfRule type="containsBlanks" dxfId="1231" priority="219">
      <formula>LEN(TRIM(AQ74))=0</formula>
    </cfRule>
  </conditionalFormatting>
  <conditionalFormatting sqref="AQ74:BB74">
    <cfRule type="containsBlanks" dxfId="1230" priority="217">
      <formula>LEN(TRIM(AQ74))=0</formula>
    </cfRule>
  </conditionalFormatting>
  <conditionalFormatting sqref="AQ87:BB87">
    <cfRule type="containsBlanks" dxfId="1229" priority="215">
      <formula>LEN(TRIM(AQ87))=0</formula>
    </cfRule>
    <cfRule type="containsBlanks" dxfId="1228" priority="216">
      <formula>LEN(TRIM(AQ87))=0</formula>
    </cfRule>
  </conditionalFormatting>
  <conditionalFormatting sqref="AQ87:BB87">
    <cfRule type="containsBlanks" dxfId="1227" priority="214">
      <formula>LEN(TRIM(AQ87))=0</formula>
    </cfRule>
  </conditionalFormatting>
  <conditionalFormatting sqref="AK95:AM95">
    <cfRule type="containsBlanks" dxfId="1226" priority="212">
      <formula>LEN(TRIM(AK95))=0</formula>
    </cfRule>
    <cfRule type="containsBlanks" dxfId="1225" priority="213">
      <formula>LEN(TRIM(AK95))=0</formula>
    </cfRule>
  </conditionalFormatting>
  <conditionalFormatting sqref="AK95:AM95">
    <cfRule type="containsBlanks" dxfId="1224" priority="211">
      <formula>LEN(TRIM(AK95))=0</formula>
    </cfRule>
  </conditionalFormatting>
  <conditionalFormatting sqref="AS84 AV84 AY84 BB84">
    <cfRule type="containsBlanks" dxfId="1223" priority="210">
      <formula>LEN(TRIM(AS84))=0</formula>
    </cfRule>
  </conditionalFormatting>
  <conditionalFormatting sqref="AS84 AV84 AY84 BB84">
    <cfRule type="containsBlanks" dxfId="1222" priority="208">
      <formula>LEN(TRIM(AS84))=0</formula>
    </cfRule>
    <cfRule type="containsBlanks" dxfId="1221" priority="209">
      <formula>LEN(TRIM(AS84))=0</formula>
    </cfRule>
  </conditionalFormatting>
  <conditionalFormatting sqref="AR84 AU84 AX84 BA84">
    <cfRule type="cellIs" dxfId="1220" priority="207" operator="lessThan">
      <formula>0.05</formula>
    </cfRule>
  </conditionalFormatting>
  <conditionalFormatting sqref="AQ84 AT84 AW84 AZ84">
    <cfRule type="cellIs" dxfId="1219" priority="206" operator="lessThan">
      <formula>0.05</formula>
    </cfRule>
  </conditionalFormatting>
  <conditionalFormatting sqref="S84:AM84">
    <cfRule type="containsBlanks" dxfId="1218" priority="204">
      <formula>LEN(TRIM(S84))=0</formula>
    </cfRule>
    <cfRule type="containsBlanks" dxfId="1217" priority="205">
      <formula>LEN(TRIM(S84))=0</formula>
    </cfRule>
  </conditionalFormatting>
  <conditionalFormatting sqref="S84:AM84">
    <cfRule type="containsBlanks" dxfId="1216" priority="203">
      <formula>LEN(TRIM(S84))=0</formula>
    </cfRule>
  </conditionalFormatting>
  <conditionalFormatting sqref="Q84">
    <cfRule type="containsBlanks" dxfId="1215" priority="202">
      <formula>LEN(TRIM(Q84))=0</formula>
    </cfRule>
  </conditionalFormatting>
  <conditionalFormatting sqref="AQ92:BB92">
    <cfRule type="containsBlanks" dxfId="1214" priority="200">
      <formula>LEN(TRIM(AQ92))=0</formula>
    </cfRule>
    <cfRule type="containsBlanks" dxfId="1213" priority="201">
      <formula>LEN(TRIM(AQ92))=0</formula>
    </cfRule>
  </conditionalFormatting>
  <conditionalFormatting sqref="AQ92:BB92">
    <cfRule type="containsBlanks" dxfId="1212" priority="199">
      <formula>LEN(TRIM(AQ92))=0</formula>
    </cfRule>
  </conditionalFormatting>
  <conditionalFormatting sqref="AQ76:BB76">
    <cfRule type="containsBlanks" dxfId="1211" priority="197">
      <formula>LEN(TRIM(AQ76))=0</formula>
    </cfRule>
    <cfRule type="containsBlanks" dxfId="1210" priority="198">
      <formula>LEN(TRIM(AQ76))=0</formula>
    </cfRule>
  </conditionalFormatting>
  <conditionalFormatting sqref="AQ76:BB76">
    <cfRule type="containsBlanks" dxfId="1209" priority="196">
      <formula>LEN(TRIM(AQ76))=0</formula>
    </cfRule>
  </conditionalFormatting>
  <conditionalFormatting sqref="N83:P83">
    <cfRule type="containsBlanks" dxfId="1208" priority="195">
      <formula>LEN(TRIM(N83))=0</formula>
    </cfRule>
  </conditionalFormatting>
  <conditionalFormatting sqref="M83">
    <cfRule type="containsBlanks" dxfId="1207" priority="194">
      <formula>LEN(TRIM(M83))=0</formula>
    </cfRule>
  </conditionalFormatting>
  <conditionalFormatting sqref="M83">
    <cfRule type="containsBlanks" dxfId="1206" priority="193">
      <formula>LEN(TRIM(M83))=0</formula>
    </cfRule>
  </conditionalFormatting>
  <conditionalFormatting sqref="AE83:AM83">
    <cfRule type="containsBlanks" dxfId="1205" priority="181">
      <formula>LEN(TRIM(AE83))=0</formula>
    </cfRule>
    <cfRule type="containsBlanks" dxfId="1204" priority="182">
      <formula>LEN(TRIM(AE83))=0</formula>
    </cfRule>
  </conditionalFormatting>
  <conditionalFormatting sqref="AE83:AM83">
    <cfRule type="containsBlanks" dxfId="1203" priority="180">
      <formula>LEN(TRIM(AE83))=0</formula>
    </cfRule>
  </conditionalFormatting>
  <conditionalFormatting sqref="S83:AD83">
    <cfRule type="containsBlanks" dxfId="1202" priority="178">
      <formula>LEN(TRIM(S83))=0</formula>
    </cfRule>
    <cfRule type="containsBlanks" dxfId="1201" priority="179">
      <formula>LEN(TRIM(S83))=0</formula>
    </cfRule>
  </conditionalFormatting>
  <conditionalFormatting sqref="S83:AD83">
    <cfRule type="containsBlanks" dxfId="1200" priority="177">
      <formula>LEN(TRIM(S83))=0</formula>
    </cfRule>
  </conditionalFormatting>
  <conditionalFormatting sqref="AN83:AP83">
    <cfRule type="containsBlanks" dxfId="1199" priority="175">
      <formula>LEN(TRIM(AN83))=0</formula>
    </cfRule>
    <cfRule type="containsBlanks" dxfId="1198" priority="176">
      <formula>LEN(TRIM(AN83))=0</formula>
    </cfRule>
  </conditionalFormatting>
  <conditionalFormatting sqref="AN83:AP83">
    <cfRule type="containsBlanks" dxfId="1197" priority="174">
      <formula>LEN(TRIM(AN83))=0</formula>
    </cfRule>
  </conditionalFormatting>
  <conditionalFormatting sqref="AP84">
    <cfRule type="containsBlanks" dxfId="1196" priority="173">
      <formula>LEN(TRIM(AP84))=0</formula>
    </cfRule>
  </conditionalFormatting>
  <conditionalFormatting sqref="AP84">
    <cfRule type="containsBlanks" dxfId="1195" priority="171">
      <formula>LEN(TRIM(AP84))=0</formula>
    </cfRule>
    <cfRule type="containsBlanks" dxfId="1194" priority="172">
      <formula>LEN(TRIM(AP84))=0</formula>
    </cfRule>
  </conditionalFormatting>
  <conditionalFormatting sqref="AO84">
    <cfRule type="cellIs" dxfId="1193" priority="170" operator="lessThan">
      <formula>0.05</formula>
    </cfRule>
  </conditionalFormatting>
  <conditionalFormatting sqref="AN84">
    <cfRule type="cellIs" dxfId="1192" priority="169" operator="lessThan">
      <formula>0.05</formula>
    </cfRule>
  </conditionalFormatting>
  <conditionalFormatting sqref="AV83">
    <cfRule type="containsBlanks" dxfId="1191" priority="168">
      <formula>LEN(TRIM(AV83))=0</formula>
    </cfRule>
  </conditionalFormatting>
  <conditionalFormatting sqref="AV83">
    <cfRule type="containsBlanks" dxfId="1190" priority="166">
      <formula>LEN(TRIM(AV83))=0</formula>
    </cfRule>
    <cfRule type="containsBlanks" dxfId="1189" priority="167">
      <formula>LEN(TRIM(AV83))=0</formula>
    </cfRule>
  </conditionalFormatting>
  <conditionalFormatting sqref="AU83">
    <cfRule type="cellIs" dxfId="1188" priority="165" operator="lessThan">
      <formula>0.05</formula>
    </cfRule>
  </conditionalFormatting>
  <conditionalFormatting sqref="AT83">
    <cfRule type="cellIs" dxfId="1187" priority="164" operator="lessThan">
      <formula>0.05</formula>
    </cfRule>
  </conditionalFormatting>
  <conditionalFormatting sqref="N85:P85">
    <cfRule type="containsBlanks" dxfId="1186" priority="163">
      <formula>LEN(TRIM(N85))=0</formula>
    </cfRule>
  </conditionalFormatting>
  <conditionalFormatting sqref="M85">
    <cfRule type="containsBlanks" dxfId="1185" priority="162">
      <formula>LEN(TRIM(M85))=0</formula>
    </cfRule>
  </conditionalFormatting>
  <conditionalFormatting sqref="M85">
    <cfRule type="containsBlanks" dxfId="1184" priority="161">
      <formula>LEN(TRIM(M85))=0</formula>
    </cfRule>
  </conditionalFormatting>
  <conditionalFormatting sqref="AE85:AM85">
    <cfRule type="containsBlanks" dxfId="1183" priority="154">
      <formula>LEN(TRIM(AE85))=0</formula>
    </cfRule>
    <cfRule type="containsBlanks" dxfId="1182" priority="155">
      <formula>LEN(TRIM(AE85))=0</formula>
    </cfRule>
  </conditionalFormatting>
  <conditionalFormatting sqref="AE85:AM85">
    <cfRule type="containsBlanks" dxfId="1181" priority="153">
      <formula>LEN(TRIM(AE85))=0</formula>
    </cfRule>
  </conditionalFormatting>
  <conditionalFormatting sqref="S85:AD85">
    <cfRule type="containsBlanks" dxfId="1180" priority="151">
      <formula>LEN(TRIM(S85))=0</formula>
    </cfRule>
    <cfRule type="containsBlanks" dxfId="1179" priority="152">
      <formula>LEN(TRIM(S85))=0</formula>
    </cfRule>
  </conditionalFormatting>
  <conditionalFormatting sqref="S85:AD85">
    <cfRule type="containsBlanks" dxfId="1178" priority="150">
      <formula>LEN(TRIM(S85))=0</formula>
    </cfRule>
  </conditionalFormatting>
  <conditionalFormatting sqref="AN85:AP85">
    <cfRule type="containsBlanks" dxfId="1177" priority="148">
      <formula>LEN(TRIM(AN85))=0</formula>
    </cfRule>
    <cfRule type="containsBlanks" dxfId="1176" priority="149">
      <formula>LEN(TRIM(AN85))=0</formula>
    </cfRule>
  </conditionalFormatting>
  <conditionalFormatting sqref="AN85:AP85">
    <cfRule type="containsBlanks" dxfId="1175" priority="147">
      <formula>LEN(TRIM(AN85))=0</formula>
    </cfRule>
  </conditionalFormatting>
  <conditionalFormatting sqref="AV85">
    <cfRule type="containsBlanks" dxfId="1174" priority="146">
      <formula>LEN(TRIM(AV85))=0</formula>
    </cfRule>
  </conditionalFormatting>
  <conditionalFormatting sqref="AV85">
    <cfRule type="containsBlanks" dxfId="1173" priority="144">
      <formula>LEN(TRIM(AV85))=0</formula>
    </cfRule>
    <cfRule type="containsBlanks" dxfId="1172" priority="145">
      <formula>LEN(TRIM(AV85))=0</formula>
    </cfRule>
  </conditionalFormatting>
  <conditionalFormatting sqref="AU85">
    <cfRule type="cellIs" dxfId="1171" priority="143" operator="lessThan">
      <formula>0.05</formula>
    </cfRule>
  </conditionalFormatting>
  <conditionalFormatting sqref="AT85">
    <cfRule type="cellIs" dxfId="1170" priority="142" operator="lessThan">
      <formula>0.05</formula>
    </cfRule>
  </conditionalFormatting>
  <conditionalFormatting sqref="Q83">
    <cfRule type="containsBlanks" dxfId="1169" priority="141">
      <formula>LEN(TRIM(Q83))=0</formula>
    </cfRule>
  </conditionalFormatting>
  <conditionalFormatting sqref="Q85">
    <cfRule type="containsBlanks" dxfId="1168" priority="140">
      <formula>LEN(TRIM(Q85))=0</formula>
    </cfRule>
  </conditionalFormatting>
  <conditionalFormatting sqref="S87:AA87">
    <cfRule type="containsBlanks" dxfId="1167" priority="138">
      <formula>LEN(TRIM(S87))=0</formula>
    </cfRule>
    <cfRule type="containsBlanks" dxfId="1166" priority="139">
      <formula>LEN(TRIM(S87))=0</formula>
    </cfRule>
  </conditionalFormatting>
  <conditionalFormatting sqref="S87:AA87">
    <cfRule type="containsBlanks" dxfId="1165" priority="137">
      <formula>LEN(TRIM(S87))=0</formula>
    </cfRule>
  </conditionalFormatting>
  <conditionalFormatting sqref="S92:U92">
    <cfRule type="containsBlanks" dxfId="1164" priority="135">
      <formula>LEN(TRIM(S92))=0</formula>
    </cfRule>
    <cfRule type="containsBlanks" dxfId="1163" priority="136">
      <formula>LEN(TRIM(S92))=0</formula>
    </cfRule>
  </conditionalFormatting>
  <conditionalFormatting sqref="S92:U92">
    <cfRule type="containsBlanks" dxfId="1162" priority="134">
      <formula>LEN(TRIM(S92))=0</formula>
    </cfRule>
  </conditionalFormatting>
  <conditionalFormatting sqref="S76:U76">
    <cfRule type="containsBlanks" dxfId="1161" priority="132">
      <formula>LEN(TRIM(S76))=0</formula>
    </cfRule>
    <cfRule type="containsBlanks" dxfId="1160" priority="133">
      <formula>LEN(TRIM(S76))=0</formula>
    </cfRule>
  </conditionalFormatting>
  <conditionalFormatting sqref="S76:U76">
    <cfRule type="containsBlanks" dxfId="1159" priority="131">
      <formula>LEN(TRIM(S76))=0</formula>
    </cfRule>
  </conditionalFormatting>
  <conditionalFormatting sqref="AQ79:BB79">
    <cfRule type="containsBlanks" dxfId="1158" priority="123">
      <formula>LEN(TRIM(AQ79))=0</formula>
    </cfRule>
    <cfRule type="containsBlanks" dxfId="1157" priority="124">
      <formula>LEN(TRIM(AQ79))=0</formula>
    </cfRule>
  </conditionalFormatting>
  <conditionalFormatting sqref="AQ79:BB79">
    <cfRule type="containsBlanks" dxfId="1156" priority="122">
      <formula>LEN(TRIM(AQ79))=0</formula>
    </cfRule>
  </conditionalFormatting>
  <conditionalFormatting sqref="AN92:AP92">
    <cfRule type="containsBlanks" dxfId="1155" priority="120">
      <formula>LEN(TRIM(AN92))=0</formula>
    </cfRule>
    <cfRule type="containsBlanks" dxfId="1154" priority="121">
      <formula>LEN(TRIM(AN92))=0</formula>
    </cfRule>
  </conditionalFormatting>
  <conditionalFormatting sqref="AN92:AP92">
    <cfRule type="containsBlanks" dxfId="1153" priority="119">
      <formula>LEN(TRIM(AN92))=0</formula>
    </cfRule>
  </conditionalFormatting>
  <conditionalFormatting sqref="AO68">
    <cfRule type="cellIs" dxfId="1152" priority="115" operator="lessThan">
      <formula>0.05</formula>
    </cfRule>
  </conditionalFormatting>
  <conditionalFormatting sqref="S65:AV65">
    <cfRule type="containsBlanks" dxfId="1151" priority="113">
      <formula>LEN(TRIM(S65))=0</formula>
    </cfRule>
    <cfRule type="containsBlanks" dxfId="1150" priority="114">
      <formula>LEN(TRIM(S65))=0</formula>
    </cfRule>
  </conditionalFormatting>
  <conditionalFormatting sqref="S65:AV65">
    <cfRule type="containsBlanks" dxfId="1149" priority="112">
      <formula>LEN(TRIM(S65))=0</formula>
    </cfRule>
  </conditionalFormatting>
  <conditionalFormatting sqref="BB65">
    <cfRule type="containsBlanks" dxfId="1148" priority="109">
      <formula>LEN(TRIM(BB65))=0</formula>
    </cfRule>
    <cfRule type="containsBlanks" dxfId="1147" priority="110">
      <formula>LEN(TRIM(BB65))=0</formula>
    </cfRule>
  </conditionalFormatting>
  <conditionalFormatting sqref="BB65">
    <cfRule type="containsBlanks" dxfId="1146" priority="111">
      <formula>LEN(TRIM(BB65))=0</formula>
    </cfRule>
  </conditionalFormatting>
  <conditionalFormatting sqref="AZ65">
    <cfRule type="cellIs" dxfId="1145" priority="108" operator="lessThan">
      <formula>0.05</formula>
    </cfRule>
  </conditionalFormatting>
  <conditionalFormatting sqref="BA65">
    <cfRule type="cellIs" dxfId="1144" priority="107" operator="lessThan">
      <formula>0.05</formula>
    </cfRule>
  </conditionalFormatting>
  <conditionalFormatting sqref="U64 X64 AA64 AD64 AG64 AJ64 AM64 AP64 AS64 AV64">
    <cfRule type="containsBlanks" dxfId="1143" priority="104">
      <formula>LEN(TRIM(U64))=0</formula>
    </cfRule>
    <cfRule type="containsBlanks" dxfId="1142" priority="105">
      <formula>LEN(TRIM(U64))=0</formula>
    </cfRule>
  </conditionalFormatting>
  <conditionalFormatting sqref="U64 X64 AA64 AD64 AG64 AJ64 AM64 AP64 AS64 AV64">
    <cfRule type="containsBlanks" dxfId="1141" priority="106">
      <formula>LEN(TRIM(U64))=0</formula>
    </cfRule>
  </conditionalFormatting>
  <conditionalFormatting sqref="S64 V64 Y64 AB64 AE64 AH64 AK64 AN64 AQ64 AT64">
    <cfRule type="cellIs" dxfId="1140" priority="103" operator="lessThan">
      <formula>0.05</formula>
    </cfRule>
  </conditionalFormatting>
  <conditionalFormatting sqref="T64 W64 Z64 AC64 AF64 AI64 AL64 AO64 AR64 AU64">
    <cfRule type="cellIs" dxfId="1139" priority="102" operator="lessThan">
      <formula>0.05</formula>
    </cfRule>
  </conditionalFormatting>
  <conditionalFormatting sqref="S73:U73">
    <cfRule type="containsBlanks" dxfId="1138" priority="100">
      <formula>LEN(TRIM(S73))=0</formula>
    </cfRule>
    <cfRule type="containsBlanks" dxfId="1137" priority="101">
      <formula>LEN(TRIM(S73))=0</formula>
    </cfRule>
  </conditionalFormatting>
  <conditionalFormatting sqref="S73:U73">
    <cfRule type="containsBlanks" dxfId="1136" priority="99">
      <formula>LEN(TRIM(S73))=0</formula>
    </cfRule>
  </conditionalFormatting>
  <conditionalFormatting sqref="S68:AM68">
    <cfRule type="containsBlanks" dxfId="1135" priority="97">
      <formula>LEN(TRIM(S68))=0</formula>
    </cfRule>
    <cfRule type="containsBlanks" dxfId="1134" priority="98">
      <formula>LEN(TRIM(S68))=0</formula>
    </cfRule>
  </conditionalFormatting>
  <conditionalFormatting sqref="S68:AM68">
    <cfRule type="containsBlanks" dxfId="1133" priority="96">
      <formula>LEN(TRIM(S68))=0</formula>
    </cfRule>
  </conditionalFormatting>
  <conditionalFormatting sqref="AQ83:AS83">
    <cfRule type="containsBlanks" dxfId="1132" priority="88">
      <formula>LEN(TRIM(AQ83))=0</formula>
    </cfRule>
    <cfRule type="containsBlanks" dxfId="1131" priority="89">
      <formula>LEN(TRIM(AQ83))=0</formula>
    </cfRule>
  </conditionalFormatting>
  <conditionalFormatting sqref="AQ83:AS83">
    <cfRule type="containsBlanks" dxfId="1130" priority="87">
      <formula>LEN(TRIM(AQ83))=0</formula>
    </cfRule>
  </conditionalFormatting>
  <conditionalFormatting sqref="AQ85:AS85">
    <cfRule type="containsBlanks" dxfId="1129" priority="85">
      <formula>LEN(TRIM(AQ85))=0</formula>
    </cfRule>
    <cfRule type="containsBlanks" dxfId="1128" priority="86">
      <formula>LEN(TRIM(AQ85))=0</formula>
    </cfRule>
  </conditionalFormatting>
  <conditionalFormatting sqref="AQ85:AS85">
    <cfRule type="containsBlanks" dxfId="1127" priority="84">
      <formula>LEN(TRIM(AQ85))=0</formula>
    </cfRule>
  </conditionalFormatting>
  <conditionalFormatting sqref="Y31">
    <cfRule type="cellIs" dxfId="1126" priority="76" operator="lessThan">
      <formula>0.05</formula>
    </cfRule>
  </conditionalFormatting>
  <conditionalFormatting sqref="AV68">
    <cfRule type="containsBlanks" dxfId="1125" priority="75">
      <formula>LEN(TRIM(AV68))=0</formula>
    </cfRule>
  </conditionalFormatting>
  <conditionalFormatting sqref="AV68">
    <cfRule type="containsBlanks" dxfId="1124" priority="73">
      <formula>LEN(TRIM(AV68))=0</formula>
    </cfRule>
    <cfRule type="containsBlanks" dxfId="1123" priority="74">
      <formula>LEN(TRIM(AV68))=0</formula>
    </cfRule>
  </conditionalFormatting>
  <conditionalFormatting sqref="AT68">
    <cfRule type="cellIs" dxfId="1122" priority="72" operator="lessThan">
      <formula>0.05</formula>
    </cfRule>
  </conditionalFormatting>
  <conditionalFormatting sqref="AU68">
    <cfRule type="cellIs" dxfId="1121" priority="71" operator="lessThan">
      <formula>0.05</formula>
    </cfRule>
  </conditionalFormatting>
  <conditionalFormatting sqref="AY83 BB83">
    <cfRule type="containsBlanks" dxfId="1120" priority="70">
      <formula>LEN(TRIM(AY83))=0</formula>
    </cfRule>
  </conditionalFormatting>
  <conditionalFormatting sqref="AY83 BB83">
    <cfRule type="containsBlanks" dxfId="1119" priority="68">
      <formula>LEN(TRIM(AY83))=0</formula>
    </cfRule>
    <cfRule type="containsBlanks" dxfId="1118" priority="69">
      <formula>LEN(TRIM(AY83))=0</formula>
    </cfRule>
  </conditionalFormatting>
  <conditionalFormatting sqref="AX83 BA83">
    <cfRule type="cellIs" dxfId="1117" priority="67" operator="lessThan">
      <formula>0.05</formula>
    </cfRule>
  </conditionalFormatting>
  <conditionalFormatting sqref="AW83 AZ83">
    <cfRule type="cellIs" dxfId="1116" priority="66" operator="lessThan">
      <formula>0.05</formula>
    </cfRule>
  </conditionalFormatting>
  <conditionalFormatting sqref="AY85 BB85">
    <cfRule type="containsBlanks" dxfId="1115" priority="65">
      <formula>LEN(TRIM(AY85))=0</formula>
    </cfRule>
  </conditionalFormatting>
  <conditionalFormatting sqref="AY85 BB85">
    <cfRule type="containsBlanks" dxfId="1114" priority="63">
      <formula>LEN(TRIM(AY85))=0</formula>
    </cfRule>
    <cfRule type="containsBlanks" dxfId="1113" priority="64">
      <formula>LEN(TRIM(AY85))=0</formula>
    </cfRule>
  </conditionalFormatting>
  <conditionalFormatting sqref="AX85 BA85">
    <cfRule type="cellIs" dxfId="1112" priority="62" operator="lessThan">
      <formula>0.05</formula>
    </cfRule>
  </conditionalFormatting>
  <conditionalFormatting sqref="AW85 AZ85">
    <cfRule type="cellIs" dxfId="1111" priority="61" operator="lessThan">
      <formula>0.05</formula>
    </cfRule>
  </conditionalFormatting>
  <conditionalFormatting sqref="S97:AA97">
    <cfRule type="containsBlanks" dxfId="1110" priority="59">
      <formula>LEN(TRIM(S97))=0</formula>
    </cfRule>
    <cfRule type="containsBlanks" dxfId="1109" priority="60">
      <formula>LEN(TRIM(S97))=0</formula>
    </cfRule>
  </conditionalFormatting>
  <conditionalFormatting sqref="S97:AA97">
    <cfRule type="containsBlanks" dxfId="1108" priority="58">
      <formula>LEN(TRIM(S97))=0</formula>
    </cfRule>
  </conditionalFormatting>
  <conditionalFormatting sqref="S99:AY99">
    <cfRule type="containsBlanks" dxfId="1107" priority="56">
      <formula>LEN(TRIM(S99))=0</formula>
    </cfRule>
    <cfRule type="containsBlanks" dxfId="1106" priority="57">
      <formula>LEN(TRIM(S99))=0</formula>
    </cfRule>
  </conditionalFormatting>
  <conditionalFormatting sqref="S99:AY99">
    <cfRule type="containsBlanks" dxfId="1105" priority="55">
      <formula>LEN(TRIM(S99))=0</formula>
    </cfRule>
  </conditionalFormatting>
  <conditionalFormatting sqref="BB99">
    <cfRule type="containsBlanks" dxfId="1104" priority="54">
      <formula>LEN(TRIM(BB99))=0</formula>
    </cfRule>
  </conditionalFormatting>
  <conditionalFormatting sqref="BB99">
    <cfRule type="containsBlanks" dxfId="1103" priority="52">
      <formula>LEN(TRIM(BB99))=0</formula>
    </cfRule>
    <cfRule type="containsBlanks" dxfId="1102" priority="53">
      <formula>LEN(TRIM(BB99))=0</formula>
    </cfRule>
  </conditionalFormatting>
  <conditionalFormatting sqref="BA99">
    <cfRule type="cellIs" dxfId="1101" priority="51" operator="lessThan">
      <formula>0.05</formula>
    </cfRule>
  </conditionalFormatting>
  <conditionalFormatting sqref="AZ99">
    <cfRule type="cellIs" dxfId="1100" priority="50" operator="lessThan">
      <formula>0.05</formula>
    </cfRule>
  </conditionalFormatting>
  <conditionalFormatting sqref="AY68 BB68">
    <cfRule type="containsBlanks" dxfId="1099" priority="49">
      <formula>LEN(TRIM(AY68))=0</formula>
    </cfRule>
  </conditionalFormatting>
  <conditionalFormatting sqref="AY68 BB68">
    <cfRule type="containsBlanks" dxfId="1098" priority="47">
      <formula>LEN(TRIM(AY68))=0</formula>
    </cfRule>
    <cfRule type="containsBlanks" dxfId="1097" priority="48">
      <formula>LEN(TRIM(AY68))=0</formula>
    </cfRule>
  </conditionalFormatting>
  <conditionalFormatting sqref="AW68 AZ68">
    <cfRule type="cellIs" dxfId="1096" priority="46" operator="lessThan">
      <formula>0.05</formula>
    </cfRule>
  </conditionalFormatting>
  <conditionalFormatting sqref="AX68 BA68">
    <cfRule type="cellIs" dxfId="1095" priority="45" operator="lessThan">
      <formula>0.05</formula>
    </cfRule>
  </conditionalFormatting>
  <conditionalFormatting sqref="L63:Q63">
    <cfRule type="containsBlanks" dxfId="1094" priority="44">
      <formula>LEN(TRIM(L63))=0</formula>
    </cfRule>
  </conditionalFormatting>
  <conditionalFormatting sqref="BB63">
    <cfRule type="containsBlanks" dxfId="1093" priority="41">
      <formula>LEN(TRIM(BB63))=0</formula>
    </cfRule>
    <cfRule type="containsBlanks" dxfId="1092" priority="42">
      <formula>LEN(TRIM(BB63))=0</formula>
    </cfRule>
  </conditionalFormatting>
  <conditionalFormatting sqref="BB63">
    <cfRule type="containsBlanks" dxfId="1091" priority="43">
      <formula>LEN(TRIM(BB63))=0</formula>
    </cfRule>
  </conditionalFormatting>
  <conditionalFormatting sqref="AZ63">
    <cfRule type="cellIs" dxfId="1090" priority="40" operator="lessThan">
      <formula>0.05</formula>
    </cfRule>
  </conditionalFormatting>
  <conditionalFormatting sqref="BA63">
    <cfRule type="cellIs" dxfId="1089" priority="39" operator="lessThan">
      <formula>0.05</formula>
    </cfRule>
  </conditionalFormatting>
  <conditionalFormatting sqref="S63:AY63">
    <cfRule type="containsBlanks" dxfId="1088" priority="32">
      <formula>LEN(TRIM(S63))=0</formula>
    </cfRule>
    <cfRule type="containsBlanks" dxfId="1087" priority="33">
      <formula>LEN(TRIM(S63))=0</formula>
    </cfRule>
  </conditionalFormatting>
  <conditionalFormatting sqref="S63:AY63">
    <cfRule type="containsBlanks" dxfId="1086" priority="31">
      <formula>LEN(TRIM(S63))=0</formula>
    </cfRule>
  </conditionalFormatting>
  <conditionalFormatting sqref="M62:Q62">
    <cfRule type="containsBlanks" dxfId="1085" priority="30">
      <formula>LEN(TRIM(M62))=0</formula>
    </cfRule>
  </conditionalFormatting>
  <conditionalFormatting sqref="S62:AV62">
    <cfRule type="containsBlanks" dxfId="1084" priority="23">
      <formula>LEN(TRIM(S62))=0</formula>
    </cfRule>
    <cfRule type="containsBlanks" dxfId="1083" priority="24">
      <formula>LEN(TRIM(S62))=0</formula>
    </cfRule>
  </conditionalFormatting>
  <conditionalFormatting sqref="S62:AV62">
    <cfRule type="containsBlanks" dxfId="1082" priority="22">
      <formula>LEN(TRIM(S62))=0</formula>
    </cfRule>
  </conditionalFormatting>
  <conditionalFormatting sqref="BB62">
    <cfRule type="containsBlanks" dxfId="1081" priority="19">
      <formula>LEN(TRIM(BB62))=0</formula>
    </cfRule>
    <cfRule type="containsBlanks" dxfId="1080" priority="20">
      <formula>LEN(TRIM(BB62))=0</formula>
    </cfRule>
  </conditionalFormatting>
  <conditionalFormatting sqref="BB62">
    <cfRule type="containsBlanks" dxfId="1079" priority="21">
      <formula>LEN(TRIM(BB62))=0</formula>
    </cfRule>
  </conditionalFormatting>
  <conditionalFormatting sqref="AZ62">
    <cfRule type="cellIs" dxfId="1078" priority="18" operator="lessThan">
      <formula>0.05</formula>
    </cfRule>
  </conditionalFormatting>
  <conditionalFormatting sqref="BA62">
    <cfRule type="cellIs" dxfId="1077" priority="17" operator="lessThan">
      <formula>0.05</formula>
    </cfRule>
  </conditionalFormatting>
  <conditionalFormatting sqref="AW62:AY62">
    <cfRule type="containsBlanks" dxfId="1076" priority="15">
      <formula>LEN(TRIM(AW62))=0</formula>
    </cfRule>
    <cfRule type="containsBlanks" dxfId="1075" priority="16">
      <formula>LEN(TRIM(AW62))=0</formula>
    </cfRule>
  </conditionalFormatting>
  <conditionalFormatting sqref="AW62:AY62">
    <cfRule type="containsBlanks" dxfId="1074" priority="14">
      <formula>LEN(TRIM(AW62))=0</formula>
    </cfRule>
  </conditionalFormatting>
  <conditionalFormatting sqref="AZ97:BB97">
    <cfRule type="containsBlanks" dxfId="1073" priority="12">
      <formula>LEN(TRIM(AZ97))=0</formula>
    </cfRule>
    <cfRule type="containsBlanks" dxfId="1072" priority="13">
      <formula>LEN(TRIM(AZ97))=0</formula>
    </cfRule>
  </conditionalFormatting>
  <conditionalFormatting sqref="AZ97:BB97">
    <cfRule type="containsBlanks" dxfId="1071" priority="11">
      <formula>LEN(TRIM(AZ97))=0</formula>
    </cfRule>
  </conditionalFormatting>
  <conditionalFormatting sqref="BB67">
    <cfRule type="containsBlanks" dxfId="1070" priority="10">
      <formula>LEN(TRIM(BB67))=0</formula>
    </cfRule>
  </conditionalFormatting>
  <conditionalFormatting sqref="BB67">
    <cfRule type="containsBlanks" dxfId="1069" priority="8">
      <formula>LEN(TRIM(BB67))=0</formula>
    </cfRule>
    <cfRule type="containsBlanks" dxfId="1068" priority="9">
      <formula>LEN(TRIM(BB67))=0</formula>
    </cfRule>
  </conditionalFormatting>
  <conditionalFormatting sqref="AZ67">
    <cfRule type="cellIs" dxfId="1067" priority="7" operator="lessThan">
      <formula>0.05</formula>
    </cfRule>
  </conditionalFormatting>
  <conditionalFormatting sqref="BA67">
    <cfRule type="cellIs" dxfId="1066" priority="6" operator="lessThan">
      <formula>0.05</formula>
    </cfRule>
  </conditionalFormatting>
  <conditionalFormatting sqref="BB71">
    <cfRule type="containsBlanks" dxfId="1065" priority="5">
      <formula>LEN(TRIM(BB71))=0</formula>
    </cfRule>
  </conditionalFormatting>
  <conditionalFormatting sqref="BB71">
    <cfRule type="containsBlanks" dxfId="1064" priority="3">
      <formula>LEN(TRIM(BB71))=0</formula>
    </cfRule>
    <cfRule type="containsBlanks" dxfId="1063" priority="4">
      <formula>LEN(TRIM(BB71))=0</formula>
    </cfRule>
  </conditionalFormatting>
  <conditionalFormatting sqref="AZ71">
    <cfRule type="cellIs" dxfId="1062" priority="2" operator="lessThan">
      <formula>0.05</formula>
    </cfRule>
  </conditionalFormatting>
  <conditionalFormatting sqref="BA71">
    <cfRule type="cellIs" dxfId="1061" priority="1" operator="lessThan">
      <formula>0.05</formula>
    </cfRule>
  </conditionalFormatting>
  <pageMargins left="0.23622047244094491" right="0.23622047244094491" top="0.74803149606299213" bottom="0.74803149606299213" header="0.31496062992125984" footer="0.31496062992125984"/>
  <pageSetup paperSize="9" scale="65" orientation="landscape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H116"/>
  <sheetViews>
    <sheetView tabSelected="1" zoomScaleNormal="100" workbookViewId="0">
      <pane xSplit="2" ySplit="1" topLeftCell="AH69" activePane="bottomRight" state="frozen"/>
      <selection pane="topRight" activeCell="C1" sqref="C1"/>
      <selection pane="bottomLeft" activeCell="A2" sqref="A2"/>
      <selection pane="bottomRight" activeCell="A73" sqref="A73:XFD73"/>
    </sheetView>
  </sheetViews>
  <sheetFormatPr defaultRowHeight="14.4" x14ac:dyDescent="0.3"/>
  <cols>
    <col min="1" max="1" width="34" customWidth="1"/>
    <col min="2" max="2" width="11.5546875" customWidth="1"/>
    <col min="3" max="3" width="46.109375" customWidth="1"/>
    <col min="4" max="4" width="8.33203125" style="169" customWidth="1"/>
    <col min="5" max="5" width="40.88671875" bestFit="1" customWidth="1"/>
    <col min="6" max="6" width="11.5546875" style="169" bestFit="1" customWidth="1"/>
    <col min="7" max="10" width="10.33203125" customWidth="1"/>
    <col min="11" max="11" width="21.33203125" customWidth="1"/>
    <col min="12" max="13" width="10.109375" bestFit="1" customWidth="1"/>
    <col min="14" max="14" width="7.33203125" customWidth="1"/>
    <col min="15" max="15" width="6.44140625" customWidth="1"/>
    <col min="16" max="17" width="7.44140625" customWidth="1"/>
    <col min="18" max="18" width="11.5546875" customWidth="1"/>
    <col min="19" max="54" width="8.5546875" customWidth="1"/>
    <col min="55" max="55" width="9.88671875" bestFit="1" customWidth="1"/>
    <col min="56" max="56" width="12.33203125" customWidth="1"/>
    <col min="57" max="57" width="9.6640625" bestFit="1" customWidth="1"/>
    <col min="58" max="58" width="9.6640625" customWidth="1"/>
    <col min="59" max="59" width="14.5546875" bestFit="1" customWidth="1"/>
    <col min="60" max="60" width="9.5546875" bestFit="1" customWidth="1"/>
  </cols>
  <sheetData>
    <row r="1" spans="1:60" ht="15" customHeight="1" thickBot="1" x14ac:dyDescent="0.4">
      <c r="A1" s="36" t="s">
        <v>25</v>
      </c>
      <c r="C1" s="347"/>
      <c r="S1" s="565">
        <v>44562</v>
      </c>
      <c r="T1" s="566"/>
      <c r="U1" s="567"/>
      <c r="V1" s="542">
        <v>44593</v>
      </c>
      <c r="W1" s="543"/>
      <c r="X1" s="544"/>
      <c r="Y1" s="565">
        <v>44621</v>
      </c>
      <c r="Z1" s="566"/>
      <c r="AA1" s="567"/>
      <c r="AB1" s="542">
        <v>44652</v>
      </c>
      <c r="AC1" s="543"/>
      <c r="AD1" s="544"/>
      <c r="AE1" s="565">
        <v>44682</v>
      </c>
      <c r="AF1" s="566"/>
      <c r="AG1" s="567"/>
      <c r="AH1" s="542">
        <v>44713</v>
      </c>
      <c r="AI1" s="543"/>
      <c r="AJ1" s="544"/>
      <c r="AK1" s="565">
        <v>44743</v>
      </c>
      <c r="AL1" s="566"/>
      <c r="AM1" s="567"/>
      <c r="AN1" s="542">
        <v>44774</v>
      </c>
      <c r="AO1" s="543"/>
      <c r="AP1" s="544"/>
      <c r="AQ1" s="565">
        <v>44805</v>
      </c>
      <c r="AR1" s="566"/>
      <c r="AS1" s="567"/>
      <c r="AT1" s="542">
        <v>44835</v>
      </c>
      <c r="AU1" s="543"/>
      <c r="AV1" s="544"/>
      <c r="AW1" s="565">
        <v>44866</v>
      </c>
      <c r="AX1" s="566"/>
      <c r="AY1" s="567"/>
      <c r="AZ1" s="542">
        <v>44896</v>
      </c>
      <c r="BA1" s="543"/>
      <c r="BB1" s="544"/>
      <c r="BD1" s="100" t="s">
        <v>44</v>
      </c>
      <c r="BE1" s="101" t="s">
        <v>45</v>
      </c>
      <c r="BF1" s="290" t="s">
        <v>110</v>
      </c>
      <c r="BG1" s="102" t="s">
        <v>46</v>
      </c>
      <c r="BH1" s="270" t="s">
        <v>123</v>
      </c>
    </row>
    <row r="2" spans="1:60" ht="15" customHeight="1" x14ac:dyDescent="0.3">
      <c r="A2" s="292" t="s">
        <v>7</v>
      </c>
      <c r="B2" s="296">
        <v>5102</v>
      </c>
      <c r="C2" s="299" t="s">
        <v>111</v>
      </c>
      <c r="R2" s="38" t="s">
        <v>7</v>
      </c>
      <c r="S2" s="435">
        <f t="shared" ref="S2:AB9" si="0">SUMIF($R$14:$R$176,$R2,S$14:S$176)</f>
        <v>0.39999999999999997</v>
      </c>
      <c r="T2" s="432">
        <f t="shared" si="0"/>
        <v>67.2</v>
      </c>
      <c r="U2" s="433">
        <f t="shared" si="0"/>
        <v>17066.754761904762</v>
      </c>
      <c r="V2" s="437">
        <f t="shared" si="0"/>
        <v>0.39999999999999997</v>
      </c>
      <c r="W2" s="438">
        <f t="shared" si="0"/>
        <v>64</v>
      </c>
      <c r="X2" s="439">
        <f t="shared" si="0"/>
        <v>17066.754761904762</v>
      </c>
      <c r="Y2" s="435">
        <f t="shared" si="0"/>
        <v>0.39999999999999997</v>
      </c>
      <c r="Z2" s="432">
        <f t="shared" si="0"/>
        <v>73.600000000000009</v>
      </c>
      <c r="AA2" s="433">
        <f t="shared" si="0"/>
        <v>17066.754761904762</v>
      </c>
      <c r="AB2" s="437">
        <f t="shared" si="0"/>
        <v>0.39999999999999997</v>
      </c>
      <c r="AC2" s="438">
        <f t="shared" ref="AC2:AL9" si="1">SUMIF($R$14:$R$176,$R2,AC$14:AC$176)</f>
        <v>67.2</v>
      </c>
      <c r="AD2" s="439">
        <f t="shared" si="1"/>
        <v>17066.754761904762</v>
      </c>
      <c r="AE2" s="435">
        <f t="shared" si="1"/>
        <v>0.39999999999999997</v>
      </c>
      <c r="AF2" s="432">
        <f t="shared" si="1"/>
        <v>70.399999999999991</v>
      </c>
      <c r="AG2" s="433">
        <f t="shared" si="1"/>
        <v>17066.754761904762</v>
      </c>
      <c r="AH2" s="437">
        <f t="shared" si="1"/>
        <v>0.39999999999999997</v>
      </c>
      <c r="AI2" s="438">
        <f t="shared" si="1"/>
        <v>70.399999999999991</v>
      </c>
      <c r="AJ2" s="439">
        <f t="shared" si="1"/>
        <v>17066.754761904762</v>
      </c>
      <c r="AK2" s="435">
        <f t="shared" si="1"/>
        <v>0.39999999999999997</v>
      </c>
      <c r="AL2" s="432">
        <f t="shared" si="1"/>
        <v>67.2</v>
      </c>
      <c r="AM2" s="433">
        <f t="shared" ref="AM2:AV9" si="2">SUMIF($R$14:$R$176,$R2,AM$14:AM$176)</f>
        <v>17066.808333333331</v>
      </c>
      <c r="AN2" s="437">
        <f t="shared" si="2"/>
        <v>0.39999999999999997</v>
      </c>
      <c r="AO2" s="438">
        <f t="shared" si="2"/>
        <v>73.600000000000009</v>
      </c>
      <c r="AP2" s="439">
        <f t="shared" si="2"/>
        <v>17366.808333333331</v>
      </c>
      <c r="AQ2" s="435">
        <f t="shared" si="2"/>
        <v>0.39999999999999997</v>
      </c>
      <c r="AR2" s="432">
        <f t="shared" si="2"/>
        <v>70.399999999999991</v>
      </c>
      <c r="AS2" s="433">
        <f t="shared" si="2"/>
        <v>18531.166666666664</v>
      </c>
      <c r="AT2" s="437">
        <f t="shared" si="2"/>
        <v>0.39999999999999997</v>
      </c>
      <c r="AU2" s="438">
        <f t="shared" si="2"/>
        <v>67.2</v>
      </c>
      <c r="AV2" s="439">
        <f t="shared" si="2"/>
        <v>18590.099999999999</v>
      </c>
      <c r="AW2" s="435">
        <f t="shared" ref="AW2:BB9" si="3">SUMIF($R$14:$R$176,$R2,AW$14:AW$176)</f>
        <v>0.39999999999999997</v>
      </c>
      <c r="AX2" s="432">
        <f t="shared" si="3"/>
        <v>70.399999999999991</v>
      </c>
      <c r="AY2" s="433">
        <f t="shared" si="3"/>
        <v>17937.099999999999</v>
      </c>
      <c r="AZ2" s="437">
        <f t="shared" si="3"/>
        <v>0.39999999999999997</v>
      </c>
      <c r="BA2" s="438">
        <f t="shared" si="3"/>
        <v>70.399999999999991</v>
      </c>
      <c r="BB2" s="439">
        <f t="shared" si="3"/>
        <v>17937.099999999999</v>
      </c>
      <c r="BD2" s="389">
        <f>SUM(U2,X2,AA2,AD2,AG2,AJ2,AM2,AP2,AS2,AV2,AY2,BB2)</f>
        <v>209829.61190476193</v>
      </c>
      <c r="BE2" s="390">
        <f t="shared" ref="BE2:BE9" si="4">0.338*(SUMIFS(BC:BC,F:F,"HPP",R:R, BH2)+SUMIFS(BC:BC,F:F,"DPČ",R:R, BH2))</f>
        <v>70922.408823809528</v>
      </c>
      <c r="BF2" s="390">
        <f t="shared" ref="BF2:BF9" si="5">0.02*SUMIFS(BC:BC,F:F,"HPP",R:R, BH2)</f>
        <v>4196.5922380952379</v>
      </c>
      <c r="BG2" s="391">
        <f>SUM(BD2:BF2)</f>
        <v>284948.6129666667</v>
      </c>
      <c r="BH2" s="62" t="s">
        <v>7</v>
      </c>
    </row>
    <row r="3" spans="1:60" ht="15" customHeight="1" x14ac:dyDescent="0.3">
      <c r="A3" s="293" t="s">
        <v>6</v>
      </c>
      <c r="B3" s="297">
        <v>5106</v>
      </c>
      <c r="C3" s="300" t="s">
        <v>112</v>
      </c>
      <c r="R3" s="39" t="s">
        <v>6</v>
      </c>
      <c r="S3" s="436">
        <f t="shared" si="0"/>
        <v>3501.2</v>
      </c>
      <c r="T3" s="60">
        <f t="shared" si="0"/>
        <v>311.60000000000002</v>
      </c>
      <c r="U3" s="41">
        <f t="shared" si="0"/>
        <v>113016.15714285713</v>
      </c>
      <c r="V3" s="440">
        <f t="shared" si="0"/>
        <v>4001.2</v>
      </c>
      <c r="W3" s="61">
        <f t="shared" si="0"/>
        <v>322</v>
      </c>
      <c r="X3" s="44">
        <f t="shared" si="0"/>
        <v>123016.15714285713</v>
      </c>
      <c r="Y3" s="436">
        <f t="shared" si="0"/>
        <v>4001.2</v>
      </c>
      <c r="Z3" s="60">
        <f t="shared" si="0"/>
        <v>350.80000000000007</v>
      </c>
      <c r="AA3" s="41">
        <f t="shared" si="0"/>
        <v>123016.15714285713</v>
      </c>
      <c r="AB3" s="440">
        <f t="shared" si="0"/>
        <v>4001.2</v>
      </c>
      <c r="AC3" s="61">
        <f t="shared" si="1"/>
        <v>331.6</v>
      </c>
      <c r="AD3" s="44">
        <f t="shared" si="1"/>
        <v>123016.15714285713</v>
      </c>
      <c r="AE3" s="436">
        <f t="shared" si="1"/>
        <v>3501.2</v>
      </c>
      <c r="AF3" s="60">
        <f t="shared" si="1"/>
        <v>321.20000000000005</v>
      </c>
      <c r="AG3" s="41">
        <f t="shared" si="1"/>
        <v>113016.15714285713</v>
      </c>
      <c r="AH3" s="440">
        <f t="shared" si="1"/>
        <v>3501.2</v>
      </c>
      <c r="AI3" s="61">
        <f t="shared" si="1"/>
        <v>321.20000000000005</v>
      </c>
      <c r="AJ3" s="44">
        <f t="shared" si="1"/>
        <v>113016.15714285713</v>
      </c>
      <c r="AK3" s="436">
        <f t="shared" si="1"/>
        <v>3501.4</v>
      </c>
      <c r="AL3" s="60">
        <f t="shared" si="1"/>
        <v>345.2</v>
      </c>
      <c r="AM3" s="41">
        <f t="shared" si="2"/>
        <v>123916.425</v>
      </c>
      <c r="AN3" s="440">
        <f t="shared" si="2"/>
        <v>3501.4</v>
      </c>
      <c r="AO3" s="61">
        <f t="shared" si="2"/>
        <v>357.6</v>
      </c>
      <c r="AP3" s="44">
        <f t="shared" si="2"/>
        <v>118916.425</v>
      </c>
      <c r="AQ3" s="436">
        <f t="shared" si="2"/>
        <v>3501.4</v>
      </c>
      <c r="AR3" s="60">
        <f t="shared" si="2"/>
        <v>336.4</v>
      </c>
      <c r="AS3" s="41">
        <f t="shared" si="2"/>
        <v>118131.35</v>
      </c>
      <c r="AT3" s="440">
        <f t="shared" si="2"/>
        <v>5002.1499999999996</v>
      </c>
      <c r="AU3" s="61">
        <f t="shared" si="2"/>
        <v>491.19999999999993</v>
      </c>
      <c r="AV3" s="44">
        <f t="shared" si="2"/>
        <v>177926.35</v>
      </c>
      <c r="AW3" s="436">
        <f t="shared" si="3"/>
        <v>5001.95</v>
      </c>
      <c r="AX3" s="60">
        <f t="shared" si="3"/>
        <v>473.2</v>
      </c>
      <c r="AY3" s="41">
        <f t="shared" si="3"/>
        <v>169714.35</v>
      </c>
      <c r="AZ3" s="440">
        <f t="shared" si="3"/>
        <v>5001.95</v>
      </c>
      <c r="BA3" s="61">
        <f t="shared" si="3"/>
        <v>473.2</v>
      </c>
      <c r="BB3" s="44">
        <f t="shared" si="3"/>
        <v>169714.35</v>
      </c>
      <c r="BD3" s="286">
        <f t="shared" ref="BD3:BD6" si="6">SUM(U3,X3,AA3,AD3,AG3,AJ3,AM3,AP3,AS3,AV3,AY3,BB3)</f>
        <v>1586416.1928571432</v>
      </c>
      <c r="BE3" s="287">
        <f t="shared" si="4"/>
        <v>297918.67318571429</v>
      </c>
      <c r="BF3" s="287">
        <f t="shared" si="5"/>
        <v>17628.323857142856</v>
      </c>
      <c r="BG3" s="288">
        <f t="shared" ref="BG3:BG8" si="7">SUM(BD3:BF3)</f>
        <v>1901963.1899000003</v>
      </c>
      <c r="BH3" s="63" t="s">
        <v>6</v>
      </c>
    </row>
    <row r="4" spans="1:60" ht="15" customHeight="1" x14ac:dyDescent="0.3">
      <c r="A4" s="293" t="s">
        <v>9</v>
      </c>
      <c r="B4" s="297">
        <v>5108</v>
      </c>
      <c r="C4" s="300" t="s">
        <v>113</v>
      </c>
      <c r="R4" s="39" t="s">
        <v>9</v>
      </c>
      <c r="S4" s="436">
        <f t="shared" si="0"/>
        <v>2.6</v>
      </c>
      <c r="T4" s="60">
        <f t="shared" si="0"/>
        <v>436.8</v>
      </c>
      <c r="U4" s="41">
        <f t="shared" si="0"/>
        <v>110983.02857142859</v>
      </c>
      <c r="V4" s="440">
        <f t="shared" si="0"/>
        <v>2.6</v>
      </c>
      <c r="W4" s="61">
        <f t="shared" si="0"/>
        <v>416</v>
      </c>
      <c r="X4" s="44">
        <f t="shared" si="0"/>
        <v>110983.02857142859</v>
      </c>
      <c r="Y4" s="436">
        <f t="shared" si="0"/>
        <v>2.6</v>
      </c>
      <c r="Z4" s="60">
        <f t="shared" si="0"/>
        <v>478.4</v>
      </c>
      <c r="AA4" s="41">
        <f t="shared" si="0"/>
        <v>110983.02857142859</v>
      </c>
      <c r="AB4" s="440">
        <f t="shared" si="0"/>
        <v>2.6</v>
      </c>
      <c r="AC4" s="61">
        <f t="shared" si="1"/>
        <v>436.8</v>
      </c>
      <c r="AD4" s="44">
        <f t="shared" si="1"/>
        <v>110983.02857142859</v>
      </c>
      <c r="AE4" s="436">
        <f t="shared" si="1"/>
        <v>2.6</v>
      </c>
      <c r="AF4" s="60">
        <f t="shared" si="1"/>
        <v>457.6</v>
      </c>
      <c r="AG4" s="41">
        <f t="shared" si="1"/>
        <v>110983.02857142859</v>
      </c>
      <c r="AH4" s="440">
        <f t="shared" si="1"/>
        <v>2.6</v>
      </c>
      <c r="AI4" s="61">
        <f t="shared" si="1"/>
        <v>457.6</v>
      </c>
      <c r="AJ4" s="44">
        <f t="shared" si="1"/>
        <v>110983.02857142859</v>
      </c>
      <c r="AK4" s="436">
        <f t="shared" si="1"/>
        <v>0</v>
      </c>
      <c r="AL4" s="60">
        <f t="shared" si="1"/>
        <v>0</v>
      </c>
      <c r="AM4" s="41">
        <f t="shared" si="2"/>
        <v>0</v>
      </c>
      <c r="AN4" s="440">
        <f t="shared" si="2"/>
        <v>0</v>
      </c>
      <c r="AO4" s="61">
        <f t="shared" si="2"/>
        <v>0</v>
      </c>
      <c r="AP4" s="44">
        <f t="shared" si="2"/>
        <v>0</v>
      </c>
      <c r="AQ4" s="436">
        <f t="shared" si="2"/>
        <v>0</v>
      </c>
      <c r="AR4" s="60">
        <f t="shared" si="2"/>
        <v>0</v>
      </c>
      <c r="AS4" s="41">
        <f t="shared" si="2"/>
        <v>0</v>
      </c>
      <c r="AT4" s="440">
        <f t="shared" si="2"/>
        <v>0</v>
      </c>
      <c r="AU4" s="61">
        <f t="shared" si="2"/>
        <v>0</v>
      </c>
      <c r="AV4" s="44">
        <f t="shared" si="2"/>
        <v>0</v>
      </c>
      <c r="AW4" s="436">
        <f t="shared" si="3"/>
        <v>0</v>
      </c>
      <c r="AX4" s="60">
        <f t="shared" si="3"/>
        <v>0</v>
      </c>
      <c r="AY4" s="41">
        <f t="shared" si="3"/>
        <v>0</v>
      </c>
      <c r="AZ4" s="440">
        <f t="shared" si="3"/>
        <v>0</v>
      </c>
      <c r="BA4" s="61">
        <f t="shared" si="3"/>
        <v>0</v>
      </c>
      <c r="BB4" s="44">
        <f t="shared" si="3"/>
        <v>0</v>
      </c>
      <c r="BD4" s="286">
        <f t="shared" si="6"/>
        <v>665898.17142857157</v>
      </c>
      <c r="BE4" s="287">
        <f t="shared" si="4"/>
        <v>225073.58194285716</v>
      </c>
      <c r="BF4" s="287">
        <f t="shared" si="5"/>
        <v>13317.963428571429</v>
      </c>
      <c r="BG4" s="288">
        <f t="shared" si="7"/>
        <v>904289.71680000017</v>
      </c>
      <c r="BH4" s="63" t="s">
        <v>9</v>
      </c>
    </row>
    <row r="5" spans="1:60" ht="15" customHeight="1" x14ac:dyDescent="0.3">
      <c r="A5" s="293" t="s">
        <v>8</v>
      </c>
      <c r="B5" s="297">
        <v>5107</v>
      </c>
      <c r="C5" s="300" t="s">
        <v>114</v>
      </c>
      <c r="R5" s="39" t="s">
        <v>8</v>
      </c>
      <c r="S5" s="436">
        <f t="shared" si="0"/>
        <v>500</v>
      </c>
      <c r="T5" s="60">
        <f t="shared" si="0"/>
        <v>35</v>
      </c>
      <c r="U5" s="41">
        <f t="shared" si="0"/>
        <v>17500</v>
      </c>
      <c r="V5" s="440">
        <f t="shared" si="0"/>
        <v>500</v>
      </c>
      <c r="W5" s="61">
        <f t="shared" si="0"/>
        <v>35</v>
      </c>
      <c r="X5" s="44">
        <f t="shared" si="0"/>
        <v>17500</v>
      </c>
      <c r="Y5" s="436">
        <f t="shared" si="0"/>
        <v>500</v>
      </c>
      <c r="Z5" s="60">
        <f t="shared" si="0"/>
        <v>35</v>
      </c>
      <c r="AA5" s="41">
        <f t="shared" si="0"/>
        <v>17500</v>
      </c>
      <c r="AB5" s="440">
        <f t="shared" si="0"/>
        <v>500</v>
      </c>
      <c r="AC5" s="61">
        <f t="shared" si="1"/>
        <v>35</v>
      </c>
      <c r="AD5" s="44">
        <f t="shared" si="1"/>
        <v>17500</v>
      </c>
      <c r="AE5" s="436">
        <f t="shared" si="1"/>
        <v>500</v>
      </c>
      <c r="AF5" s="60">
        <f t="shared" si="1"/>
        <v>35</v>
      </c>
      <c r="AG5" s="41">
        <f t="shared" si="1"/>
        <v>17500</v>
      </c>
      <c r="AH5" s="440">
        <f t="shared" si="1"/>
        <v>500</v>
      </c>
      <c r="AI5" s="61">
        <f t="shared" si="1"/>
        <v>35</v>
      </c>
      <c r="AJ5" s="44">
        <f t="shared" si="1"/>
        <v>17500</v>
      </c>
      <c r="AK5" s="436">
        <f t="shared" si="1"/>
        <v>500</v>
      </c>
      <c r="AL5" s="60">
        <f t="shared" si="1"/>
        <v>35</v>
      </c>
      <c r="AM5" s="41">
        <f t="shared" si="2"/>
        <v>17500</v>
      </c>
      <c r="AN5" s="440">
        <f t="shared" si="2"/>
        <v>500</v>
      </c>
      <c r="AO5" s="61">
        <f t="shared" si="2"/>
        <v>35</v>
      </c>
      <c r="AP5" s="44">
        <f t="shared" si="2"/>
        <v>17500</v>
      </c>
      <c r="AQ5" s="436">
        <f t="shared" si="2"/>
        <v>500</v>
      </c>
      <c r="AR5" s="60">
        <f t="shared" si="2"/>
        <v>35</v>
      </c>
      <c r="AS5" s="41">
        <f t="shared" si="2"/>
        <v>17500</v>
      </c>
      <c r="AT5" s="440">
        <f t="shared" si="2"/>
        <v>500</v>
      </c>
      <c r="AU5" s="61">
        <f t="shared" si="2"/>
        <v>35</v>
      </c>
      <c r="AV5" s="44">
        <f t="shared" si="2"/>
        <v>17500</v>
      </c>
      <c r="AW5" s="436">
        <f t="shared" si="3"/>
        <v>500</v>
      </c>
      <c r="AX5" s="60">
        <f t="shared" si="3"/>
        <v>35</v>
      </c>
      <c r="AY5" s="41">
        <f t="shared" si="3"/>
        <v>17500</v>
      </c>
      <c r="AZ5" s="440">
        <f t="shared" si="3"/>
        <v>500</v>
      </c>
      <c r="BA5" s="61">
        <f t="shared" si="3"/>
        <v>35</v>
      </c>
      <c r="BB5" s="44">
        <f t="shared" si="3"/>
        <v>17500</v>
      </c>
      <c r="BD5" s="286">
        <f t="shared" si="6"/>
        <v>210000</v>
      </c>
      <c r="BE5" s="287">
        <f t="shared" si="4"/>
        <v>70980</v>
      </c>
      <c r="BF5" s="287">
        <f t="shared" si="5"/>
        <v>0</v>
      </c>
      <c r="BG5" s="288">
        <f t="shared" si="7"/>
        <v>280980</v>
      </c>
      <c r="BH5" s="63" t="s">
        <v>8</v>
      </c>
    </row>
    <row r="6" spans="1:60" ht="15" customHeight="1" x14ac:dyDescent="0.3">
      <c r="A6" s="294" t="s">
        <v>29</v>
      </c>
      <c r="B6" s="297">
        <v>8517</v>
      </c>
      <c r="C6" s="300" t="s">
        <v>115</v>
      </c>
      <c r="R6" s="59" t="s">
        <v>29</v>
      </c>
      <c r="S6" s="436">
        <f t="shared" si="0"/>
        <v>1201.9000000000001</v>
      </c>
      <c r="T6" s="60">
        <f t="shared" si="0"/>
        <v>358.2</v>
      </c>
      <c r="U6" s="41">
        <f t="shared" si="0"/>
        <v>82569.709523809521</v>
      </c>
      <c r="V6" s="440">
        <f t="shared" si="0"/>
        <v>1201.9000000000001</v>
      </c>
      <c r="W6" s="61">
        <f t="shared" si="0"/>
        <v>343</v>
      </c>
      <c r="X6" s="44">
        <f t="shared" si="0"/>
        <v>82569.709523809521</v>
      </c>
      <c r="Y6" s="436">
        <f t="shared" si="0"/>
        <v>1601.9</v>
      </c>
      <c r="Z6" s="60">
        <f t="shared" si="0"/>
        <v>398.6</v>
      </c>
      <c r="AA6" s="41">
        <f t="shared" si="0"/>
        <v>86569.709523809521</v>
      </c>
      <c r="AB6" s="440">
        <f t="shared" si="0"/>
        <v>1601.9</v>
      </c>
      <c r="AC6" s="61">
        <f t="shared" si="1"/>
        <v>368.2</v>
      </c>
      <c r="AD6" s="44">
        <f t="shared" si="1"/>
        <v>86569.709523809521</v>
      </c>
      <c r="AE6" s="436">
        <f t="shared" si="1"/>
        <v>1601.9</v>
      </c>
      <c r="AF6" s="60">
        <f t="shared" si="1"/>
        <v>383.4</v>
      </c>
      <c r="AG6" s="41">
        <f t="shared" si="1"/>
        <v>86569.709523809521</v>
      </c>
      <c r="AH6" s="440">
        <f t="shared" si="1"/>
        <v>1601.9</v>
      </c>
      <c r="AI6" s="61">
        <f t="shared" si="1"/>
        <v>383.4</v>
      </c>
      <c r="AJ6" s="44">
        <f t="shared" si="1"/>
        <v>86569.709523809521</v>
      </c>
      <c r="AK6" s="436">
        <f t="shared" si="1"/>
        <v>1602.4</v>
      </c>
      <c r="AL6" s="60">
        <f t="shared" si="1"/>
        <v>452.19999999999993</v>
      </c>
      <c r="AM6" s="41">
        <f t="shared" si="2"/>
        <v>105775.31666666665</v>
      </c>
      <c r="AN6" s="440">
        <f t="shared" si="2"/>
        <v>1602.4</v>
      </c>
      <c r="AO6" s="61">
        <f t="shared" si="2"/>
        <v>490.6</v>
      </c>
      <c r="AP6" s="44">
        <f t="shared" si="2"/>
        <v>110875.31666666665</v>
      </c>
      <c r="AQ6" s="436">
        <f t="shared" si="2"/>
        <v>2002.4</v>
      </c>
      <c r="AR6" s="60">
        <f t="shared" si="2"/>
        <v>484.4</v>
      </c>
      <c r="AS6" s="41">
        <f t="shared" si="2"/>
        <v>122668.28333333333</v>
      </c>
      <c r="AT6" s="440">
        <f t="shared" si="2"/>
        <v>2002.5</v>
      </c>
      <c r="AU6" s="61">
        <f t="shared" si="2"/>
        <v>521</v>
      </c>
      <c r="AV6" s="44">
        <f t="shared" si="2"/>
        <v>143093.45000000001</v>
      </c>
      <c r="AW6" s="436">
        <f t="shared" si="3"/>
        <v>2002.7</v>
      </c>
      <c r="AX6" s="60">
        <f t="shared" si="3"/>
        <v>514.20000000000005</v>
      </c>
      <c r="AY6" s="41">
        <f t="shared" si="3"/>
        <v>114098.45</v>
      </c>
      <c r="AZ6" s="440">
        <f t="shared" si="3"/>
        <v>2002.7</v>
      </c>
      <c r="BA6" s="61">
        <f t="shared" si="3"/>
        <v>514.20000000000005</v>
      </c>
      <c r="BB6" s="44">
        <f t="shared" si="3"/>
        <v>113280.38333333333</v>
      </c>
      <c r="BD6" s="286">
        <f t="shared" si="6"/>
        <v>1221209.4571428569</v>
      </c>
      <c r="BE6" s="287">
        <f t="shared" si="4"/>
        <v>329891.19651428575</v>
      </c>
      <c r="BF6" s="287">
        <f t="shared" si="5"/>
        <v>19520.189142857143</v>
      </c>
      <c r="BG6" s="288">
        <f t="shared" si="7"/>
        <v>1570620.8427999998</v>
      </c>
      <c r="BH6" s="64" t="s">
        <v>29</v>
      </c>
    </row>
    <row r="7" spans="1:60" ht="15" customHeight="1" x14ac:dyDescent="0.3">
      <c r="A7" s="293" t="s">
        <v>30</v>
      </c>
      <c r="B7" s="297">
        <v>8518</v>
      </c>
      <c r="C7" s="300" t="s">
        <v>116</v>
      </c>
      <c r="R7" s="39" t="s">
        <v>30</v>
      </c>
      <c r="S7" s="436">
        <f t="shared" si="0"/>
        <v>6000.75</v>
      </c>
      <c r="T7" s="60">
        <f t="shared" si="0"/>
        <v>366</v>
      </c>
      <c r="U7" s="41">
        <f t="shared" si="0"/>
        <v>131918.25</v>
      </c>
      <c r="V7" s="440">
        <f t="shared" si="0"/>
        <v>4800.75</v>
      </c>
      <c r="W7" s="61">
        <f t="shared" si="0"/>
        <v>336</v>
      </c>
      <c r="X7" s="44">
        <f t="shared" si="0"/>
        <v>122318.25</v>
      </c>
      <c r="Y7" s="436">
        <f t="shared" si="0"/>
        <v>5200.75</v>
      </c>
      <c r="Z7" s="60">
        <f t="shared" si="0"/>
        <v>391</v>
      </c>
      <c r="AA7" s="41">
        <f t="shared" si="0"/>
        <v>137118.25</v>
      </c>
      <c r="AB7" s="440">
        <f t="shared" si="0"/>
        <v>6400.75</v>
      </c>
      <c r="AC7" s="61">
        <f t="shared" si="1"/>
        <v>418</v>
      </c>
      <c r="AD7" s="44">
        <f t="shared" si="1"/>
        <v>152718.25</v>
      </c>
      <c r="AE7" s="436">
        <f t="shared" si="1"/>
        <v>6400.75</v>
      </c>
      <c r="AF7" s="60">
        <f t="shared" si="1"/>
        <v>424</v>
      </c>
      <c r="AG7" s="41">
        <f t="shared" si="1"/>
        <v>152718.25</v>
      </c>
      <c r="AH7" s="440">
        <f t="shared" si="1"/>
        <v>6400.75</v>
      </c>
      <c r="AI7" s="61">
        <f t="shared" si="1"/>
        <v>424</v>
      </c>
      <c r="AJ7" s="44">
        <f t="shared" si="1"/>
        <v>152718.25</v>
      </c>
      <c r="AK7" s="436">
        <f t="shared" si="1"/>
        <v>6401.8</v>
      </c>
      <c r="AL7" s="60">
        <f t="shared" si="1"/>
        <v>594.4</v>
      </c>
      <c r="AM7" s="41">
        <f t="shared" si="2"/>
        <v>193517.35</v>
      </c>
      <c r="AN7" s="440">
        <f t="shared" si="2"/>
        <v>6401.8</v>
      </c>
      <c r="AO7" s="61">
        <f t="shared" si="2"/>
        <v>623.20000000000005</v>
      </c>
      <c r="AP7" s="44">
        <f t="shared" si="2"/>
        <v>194117.35</v>
      </c>
      <c r="AQ7" s="436">
        <f t="shared" si="2"/>
        <v>6401.8</v>
      </c>
      <c r="AR7" s="60">
        <f t="shared" si="2"/>
        <v>608.79999999999995</v>
      </c>
      <c r="AS7" s="41">
        <f t="shared" si="2"/>
        <v>199153.1</v>
      </c>
      <c r="AT7" s="440">
        <f t="shared" si="2"/>
        <v>0</v>
      </c>
      <c r="AU7" s="61">
        <f t="shared" si="2"/>
        <v>0</v>
      </c>
      <c r="AV7" s="44">
        <f t="shared" si="2"/>
        <v>0</v>
      </c>
      <c r="AW7" s="436">
        <f t="shared" si="3"/>
        <v>0</v>
      </c>
      <c r="AX7" s="60">
        <f t="shared" si="3"/>
        <v>0</v>
      </c>
      <c r="AY7" s="41">
        <f t="shared" si="3"/>
        <v>0</v>
      </c>
      <c r="AZ7" s="440">
        <f t="shared" si="3"/>
        <v>0</v>
      </c>
      <c r="BA7" s="61">
        <f t="shared" si="3"/>
        <v>0</v>
      </c>
      <c r="BB7" s="44">
        <f t="shared" si="3"/>
        <v>0</v>
      </c>
      <c r="BD7" s="286">
        <f>SUM(U7,X7,AA7,AD7,AG7,AJ7,AM7,AP7,AS7,AV7,AY7,BB7)</f>
        <v>1436297.3</v>
      </c>
      <c r="BE7" s="287">
        <f t="shared" si="4"/>
        <v>115538.64140000002</v>
      </c>
      <c r="BF7" s="287">
        <f t="shared" si="5"/>
        <v>6836.6060000000007</v>
      </c>
      <c r="BG7" s="288">
        <f t="shared" si="7"/>
        <v>1558672.5474</v>
      </c>
      <c r="BH7" s="63" t="s">
        <v>30</v>
      </c>
    </row>
    <row r="8" spans="1:60" ht="15" customHeight="1" x14ac:dyDescent="0.3">
      <c r="A8" s="293" t="s">
        <v>32</v>
      </c>
      <c r="B8" s="297">
        <v>8519</v>
      </c>
      <c r="C8" s="300" t="s">
        <v>117</v>
      </c>
      <c r="R8" s="39" t="s">
        <v>32</v>
      </c>
      <c r="S8" s="436">
        <f t="shared" si="0"/>
        <v>2800.2</v>
      </c>
      <c r="T8" s="60">
        <f t="shared" si="0"/>
        <v>226.6</v>
      </c>
      <c r="U8" s="41">
        <f t="shared" si="0"/>
        <v>87691.1</v>
      </c>
      <c r="V8" s="440">
        <f t="shared" si="0"/>
        <v>2800.2</v>
      </c>
      <c r="W8" s="61">
        <f t="shared" si="0"/>
        <v>225</v>
      </c>
      <c r="X8" s="44">
        <f t="shared" si="0"/>
        <v>87691.1</v>
      </c>
      <c r="Y8" s="436">
        <f t="shared" si="0"/>
        <v>2800.2</v>
      </c>
      <c r="Z8" s="60">
        <f t="shared" si="0"/>
        <v>229.8</v>
      </c>
      <c r="AA8" s="41">
        <f t="shared" si="0"/>
        <v>87691.1</v>
      </c>
      <c r="AB8" s="440">
        <f t="shared" si="0"/>
        <v>3200.2</v>
      </c>
      <c r="AC8" s="61">
        <f t="shared" si="1"/>
        <v>251.6</v>
      </c>
      <c r="AD8" s="44">
        <f t="shared" si="1"/>
        <v>97691.1</v>
      </c>
      <c r="AE8" s="436">
        <f t="shared" si="1"/>
        <v>3200.2</v>
      </c>
      <c r="AF8" s="60">
        <f t="shared" si="1"/>
        <v>253.2</v>
      </c>
      <c r="AG8" s="41">
        <f t="shared" si="1"/>
        <v>97691.1</v>
      </c>
      <c r="AH8" s="440">
        <f t="shared" si="1"/>
        <v>3200.2</v>
      </c>
      <c r="AI8" s="61">
        <f t="shared" si="1"/>
        <v>253.2</v>
      </c>
      <c r="AJ8" s="44">
        <f t="shared" si="1"/>
        <v>97691.1</v>
      </c>
      <c r="AK8" s="436">
        <f t="shared" si="1"/>
        <v>3200.2</v>
      </c>
      <c r="AL8" s="60">
        <f t="shared" si="1"/>
        <v>251.6</v>
      </c>
      <c r="AM8" s="41">
        <f t="shared" si="2"/>
        <v>97691.1</v>
      </c>
      <c r="AN8" s="440">
        <f t="shared" si="2"/>
        <v>2800.2</v>
      </c>
      <c r="AO8" s="61">
        <f t="shared" si="2"/>
        <v>229.8</v>
      </c>
      <c r="AP8" s="44">
        <f t="shared" si="2"/>
        <v>87691.1</v>
      </c>
      <c r="AQ8" s="436">
        <f t="shared" si="2"/>
        <v>2800.2</v>
      </c>
      <c r="AR8" s="60">
        <f t="shared" si="2"/>
        <v>228.2</v>
      </c>
      <c r="AS8" s="41">
        <f t="shared" si="2"/>
        <v>88251.1</v>
      </c>
      <c r="AT8" s="440">
        <f t="shared" si="2"/>
        <v>2800.2</v>
      </c>
      <c r="AU8" s="61">
        <f t="shared" si="2"/>
        <v>226.6</v>
      </c>
      <c r="AV8" s="44">
        <f t="shared" si="2"/>
        <v>88251.1</v>
      </c>
      <c r="AW8" s="436">
        <f t="shared" si="3"/>
        <v>2800.2</v>
      </c>
      <c r="AX8" s="60">
        <f t="shared" si="3"/>
        <v>228.2</v>
      </c>
      <c r="AY8" s="41">
        <f t="shared" si="3"/>
        <v>88251.1</v>
      </c>
      <c r="AZ8" s="440">
        <f t="shared" si="3"/>
        <v>2800.2</v>
      </c>
      <c r="BA8" s="61">
        <f t="shared" si="3"/>
        <v>228.2</v>
      </c>
      <c r="BB8" s="44">
        <f t="shared" si="3"/>
        <v>88251.1</v>
      </c>
      <c r="BD8" s="427">
        <f>SUM(U8,X8,AA8,AD8,AG8,AJ8,AM8,AP8,AS8,AV8,AY8,BB8)</f>
        <v>1094533.2</v>
      </c>
      <c r="BE8" s="424">
        <f t="shared" si="4"/>
        <v>186080.22159999999</v>
      </c>
      <c r="BF8" s="424">
        <f t="shared" si="5"/>
        <v>2562.6639999999998</v>
      </c>
      <c r="BG8" s="425">
        <f t="shared" si="7"/>
        <v>1283176.0856000001</v>
      </c>
      <c r="BH8" s="63" t="s">
        <v>32</v>
      </c>
    </row>
    <row r="9" spans="1:60" ht="15" customHeight="1" thickBot="1" x14ac:dyDescent="0.35">
      <c r="A9" s="415" t="s">
        <v>155</v>
      </c>
      <c r="B9" s="407">
        <v>5109</v>
      </c>
      <c r="C9" s="426" t="s">
        <v>159</v>
      </c>
      <c r="R9" s="416" t="s">
        <v>155</v>
      </c>
      <c r="S9" s="434">
        <f t="shared" si="0"/>
        <v>500.4</v>
      </c>
      <c r="T9" s="66">
        <f t="shared" si="0"/>
        <v>77.2</v>
      </c>
      <c r="U9" s="42">
        <f t="shared" si="0"/>
        <v>25536</v>
      </c>
      <c r="V9" s="441">
        <f t="shared" si="0"/>
        <v>500.4</v>
      </c>
      <c r="W9" s="67">
        <f t="shared" si="0"/>
        <v>74</v>
      </c>
      <c r="X9" s="45">
        <f t="shared" si="0"/>
        <v>25536</v>
      </c>
      <c r="Y9" s="434">
        <f t="shared" si="0"/>
        <v>500.4</v>
      </c>
      <c r="Z9" s="66">
        <f t="shared" si="0"/>
        <v>83.600000000000009</v>
      </c>
      <c r="AA9" s="42">
        <f t="shared" si="0"/>
        <v>25536</v>
      </c>
      <c r="AB9" s="441">
        <f t="shared" si="0"/>
        <v>500.4</v>
      </c>
      <c r="AC9" s="67">
        <f t="shared" si="1"/>
        <v>77.2</v>
      </c>
      <c r="AD9" s="45">
        <f t="shared" si="1"/>
        <v>25536</v>
      </c>
      <c r="AE9" s="434">
        <f t="shared" si="1"/>
        <v>500.4</v>
      </c>
      <c r="AF9" s="66">
        <f t="shared" si="1"/>
        <v>80.400000000000006</v>
      </c>
      <c r="AG9" s="42">
        <f t="shared" si="1"/>
        <v>25536</v>
      </c>
      <c r="AH9" s="441">
        <f t="shared" si="1"/>
        <v>1000.4</v>
      </c>
      <c r="AI9" s="67">
        <f t="shared" si="1"/>
        <v>90.4</v>
      </c>
      <c r="AJ9" s="45">
        <f t="shared" si="1"/>
        <v>30536</v>
      </c>
      <c r="AK9" s="434">
        <f t="shared" si="1"/>
        <v>1000.95</v>
      </c>
      <c r="AL9" s="66">
        <f t="shared" si="1"/>
        <v>179.6</v>
      </c>
      <c r="AM9" s="42">
        <f t="shared" si="2"/>
        <v>58773</v>
      </c>
      <c r="AN9" s="441">
        <f t="shared" si="2"/>
        <v>1000.95</v>
      </c>
      <c r="AO9" s="67">
        <f t="shared" si="2"/>
        <v>194.79999999999998</v>
      </c>
      <c r="AP9" s="45">
        <f t="shared" si="2"/>
        <v>58773</v>
      </c>
      <c r="AQ9" s="434">
        <f t="shared" si="2"/>
        <v>1800.95</v>
      </c>
      <c r="AR9" s="66">
        <f t="shared" si="2"/>
        <v>199.2</v>
      </c>
      <c r="AS9" s="42">
        <f t="shared" si="2"/>
        <v>67166</v>
      </c>
      <c r="AT9" s="441">
        <f t="shared" si="2"/>
        <v>1501.9</v>
      </c>
      <c r="AU9" s="67">
        <f t="shared" si="2"/>
        <v>349.2</v>
      </c>
      <c r="AV9" s="45">
        <f t="shared" si="2"/>
        <v>105117</v>
      </c>
      <c r="AW9" s="434">
        <f t="shared" si="3"/>
        <v>1501.9</v>
      </c>
      <c r="AX9" s="66">
        <f t="shared" si="3"/>
        <v>364.4</v>
      </c>
      <c r="AY9" s="42">
        <f t="shared" si="3"/>
        <v>105117</v>
      </c>
      <c r="AZ9" s="441">
        <f t="shared" si="3"/>
        <v>1501.9</v>
      </c>
      <c r="BA9" s="67">
        <f t="shared" si="3"/>
        <v>364.4</v>
      </c>
      <c r="BB9" s="45">
        <f t="shared" si="3"/>
        <v>105117</v>
      </c>
      <c r="BD9" s="289">
        <f>SUM(U9,X9,AA9,AD9,AG9,AJ9,AM9,AP9,AS9,AV9,AY9,BB9)</f>
        <v>658279</v>
      </c>
      <c r="BE9" s="311">
        <f t="shared" si="4"/>
        <v>183425.50200000001</v>
      </c>
      <c r="BF9" s="311">
        <f t="shared" si="5"/>
        <v>10853.58</v>
      </c>
      <c r="BG9" s="334">
        <f>SUM(BD9:BF9)</f>
        <v>852558.08199999994</v>
      </c>
      <c r="BH9" s="119" t="s">
        <v>155</v>
      </c>
    </row>
    <row r="10" spans="1:60" ht="15" thickBot="1" x14ac:dyDescent="0.35"/>
    <row r="11" spans="1:60" ht="15" customHeight="1" thickBot="1" x14ac:dyDescent="0.35">
      <c r="L11" s="553" t="s">
        <v>37</v>
      </c>
      <c r="M11" s="554"/>
      <c r="N11" s="554"/>
      <c r="O11" s="554"/>
      <c r="P11" s="554"/>
      <c r="Q11" s="555"/>
      <c r="R11" s="547" t="s">
        <v>26</v>
      </c>
      <c r="S11" s="542">
        <v>44562</v>
      </c>
      <c r="T11" s="543"/>
      <c r="U11" s="544"/>
      <c r="V11" s="542">
        <v>44593</v>
      </c>
      <c r="W11" s="543"/>
      <c r="X11" s="544"/>
      <c r="Y11" s="542">
        <v>44621</v>
      </c>
      <c r="Z11" s="543"/>
      <c r="AA11" s="544"/>
      <c r="AB11" s="542">
        <v>44652</v>
      </c>
      <c r="AC11" s="543"/>
      <c r="AD11" s="544"/>
      <c r="AE11" s="542">
        <v>44682</v>
      </c>
      <c r="AF11" s="543"/>
      <c r="AG11" s="544"/>
      <c r="AH11" s="542">
        <v>44713</v>
      </c>
      <c r="AI11" s="543"/>
      <c r="AJ11" s="544"/>
      <c r="AK11" s="542">
        <v>44743</v>
      </c>
      <c r="AL11" s="543"/>
      <c r="AM11" s="544"/>
      <c r="AN11" s="542">
        <v>44774</v>
      </c>
      <c r="AO11" s="543"/>
      <c r="AP11" s="544"/>
      <c r="AQ11" s="542">
        <v>44805</v>
      </c>
      <c r="AR11" s="543"/>
      <c r="AS11" s="544"/>
      <c r="AT11" s="542">
        <v>44835</v>
      </c>
      <c r="AU11" s="543"/>
      <c r="AV11" s="544"/>
      <c r="AW11" s="542">
        <v>44866</v>
      </c>
      <c r="AX11" s="543"/>
      <c r="AY11" s="544"/>
      <c r="AZ11" s="542">
        <v>44896</v>
      </c>
      <c r="BA11" s="543"/>
      <c r="BB11" s="544"/>
      <c r="BC11" s="282" t="s">
        <v>122</v>
      </c>
    </row>
    <row r="12" spans="1:60" ht="15" thickBot="1" x14ac:dyDescent="0.35">
      <c r="A12" s="151"/>
      <c r="B12" s="152"/>
      <c r="C12" s="153"/>
      <c r="L12" s="556"/>
      <c r="M12" s="557"/>
      <c r="N12" s="557"/>
      <c r="O12" s="557"/>
      <c r="P12" s="557"/>
      <c r="Q12" s="558"/>
      <c r="R12" s="548"/>
      <c r="S12" s="578">
        <v>168</v>
      </c>
      <c r="T12" s="579"/>
      <c r="U12" s="580"/>
      <c r="V12" s="581">
        <v>160</v>
      </c>
      <c r="W12" s="582"/>
      <c r="X12" s="583"/>
      <c r="Y12" s="578">
        <v>184</v>
      </c>
      <c r="Z12" s="579"/>
      <c r="AA12" s="580"/>
      <c r="AB12" s="581">
        <v>168</v>
      </c>
      <c r="AC12" s="582"/>
      <c r="AD12" s="583"/>
      <c r="AE12" s="578">
        <v>176</v>
      </c>
      <c r="AF12" s="579"/>
      <c r="AG12" s="580"/>
      <c r="AH12" s="581">
        <v>176</v>
      </c>
      <c r="AI12" s="582"/>
      <c r="AJ12" s="583"/>
      <c r="AK12" s="578">
        <v>168</v>
      </c>
      <c r="AL12" s="579"/>
      <c r="AM12" s="580"/>
      <c r="AN12" s="581">
        <v>184</v>
      </c>
      <c r="AO12" s="582"/>
      <c r="AP12" s="583"/>
      <c r="AQ12" s="578">
        <v>176</v>
      </c>
      <c r="AR12" s="579"/>
      <c r="AS12" s="580"/>
      <c r="AT12" s="581">
        <v>168</v>
      </c>
      <c r="AU12" s="582"/>
      <c r="AV12" s="583"/>
      <c r="AW12" s="578">
        <v>176</v>
      </c>
      <c r="AX12" s="579"/>
      <c r="AY12" s="580"/>
      <c r="AZ12" s="581">
        <v>176</v>
      </c>
      <c r="BA12" s="582"/>
      <c r="BB12" s="583"/>
      <c r="BC12" s="283">
        <f>SUM(S12:BB12)</f>
        <v>2080</v>
      </c>
    </row>
    <row r="13" spans="1:60" ht="42" customHeight="1" thickBot="1" x14ac:dyDescent="0.35">
      <c r="A13" s="165" t="s">
        <v>51</v>
      </c>
      <c r="B13" s="150" t="s">
        <v>26</v>
      </c>
      <c r="C13" s="413" t="s">
        <v>56</v>
      </c>
      <c r="D13" s="413" t="s">
        <v>52</v>
      </c>
      <c r="E13" s="413" t="s">
        <v>60</v>
      </c>
      <c r="F13" s="413" t="s">
        <v>53</v>
      </c>
      <c r="G13" s="413" t="s">
        <v>54</v>
      </c>
      <c r="H13" s="413" t="s">
        <v>94</v>
      </c>
      <c r="I13" s="413" t="s">
        <v>160</v>
      </c>
      <c r="J13" s="413" t="s">
        <v>161</v>
      </c>
      <c r="K13" s="392" t="s">
        <v>55</v>
      </c>
      <c r="L13" s="147" t="s">
        <v>38</v>
      </c>
      <c r="M13" s="148" t="s">
        <v>39</v>
      </c>
      <c r="N13" s="148" t="s">
        <v>40</v>
      </c>
      <c r="O13" s="148" t="s">
        <v>41</v>
      </c>
      <c r="P13" s="148" t="s">
        <v>42</v>
      </c>
      <c r="Q13" s="149" t="s">
        <v>43</v>
      </c>
      <c r="R13" s="549"/>
      <c r="S13" s="53" t="s">
        <v>0</v>
      </c>
      <c r="T13" s="54" t="s">
        <v>28</v>
      </c>
      <c r="U13" s="55" t="s">
        <v>17</v>
      </c>
      <c r="V13" s="56" t="s">
        <v>0</v>
      </c>
      <c r="W13" s="57" t="s">
        <v>28</v>
      </c>
      <c r="X13" s="58" t="s">
        <v>17</v>
      </c>
      <c r="Y13" s="53" t="s">
        <v>0</v>
      </c>
      <c r="Z13" s="54" t="s">
        <v>28</v>
      </c>
      <c r="AA13" s="55" t="s">
        <v>17</v>
      </c>
      <c r="AB13" s="56" t="s">
        <v>0</v>
      </c>
      <c r="AC13" s="57" t="s">
        <v>28</v>
      </c>
      <c r="AD13" s="58" t="s">
        <v>17</v>
      </c>
      <c r="AE13" s="53" t="s">
        <v>0</v>
      </c>
      <c r="AF13" s="54" t="s">
        <v>28</v>
      </c>
      <c r="AG13" s="55" t="s">
        <v>17</v>
      </c>
      <c r="AH13" s="56" t="s">
        <v>0</v>
      </c>
      <c r="AI13" s="57" t="s">
        <v>28</v>
      </c>
      <c r="AJ13" s="58" t="s">
        <v>17</v>
      </c>
      <c r="AK13" s="53" t="s">
        <v>0</v>
      </c>
      <c r="AL13" s="54" t="s">
        <v>28</v>
      </c>
      <c r="AM13" s="55" t="s">
        <v>17</v>
      </c>
      <c r="AN13" s="56" t="s">
        <v>0</v>
      </c>
      <c r="AO13" s="57" t="s">
        <v>28</v>
      </c>
      <c r="AP13" s="58" t="s">
        <v>17</v>
      </c>
      <c r="AQ13" s="53" t="s">
        <v>0</v>
      </c>
      <c r="AR13" s="54" t="s">
        <v>28</v>
      </c>
      <c r="AS13" s="55" t="s">
        <v>17</v>
      </c>
      <c r="AT13" s="56" t="s">
        <v>0</v>
      </c>
      <c r="AU13" s="57" t="s">
        <v>28</v>
      </c>
      <c r="AV13" s="58" t="s">
        <v>17</v>
      </c>
      <c r="AW13" s="53" t="s">
        <v>0</v>
      </c>
      <c r="AX13" s="54" t="s">
        <v>28</v>
      </c>
      <c r="AY13" s="55" t="s">
        <v>17</v>
      </c>
      <c r="AZ13" s="56" t="s">
        <v>0</v>
      </c>
      <c r="BA13" s="57" t="s">
        <v>28</v>
      </c>
      <c r="BB13" s="273" t="s">
        <v>17</v>
      </c>
      <c r="BC13" s="284" t="s">
        <v>17</v>
      </c>
    </row>
    <row r="14" spans="1:60" ht="15" thickBot="1" x14ac:dyDescent="0.35">
      <c r="A14" s="569" t="s">
        <v>154</v>
      </c>
      <c r="B14" s="62" t="s">
        <v>7</v>
      </c>
      <c r="C14" s="167" t="s">
        <v>58</v>
      </c>
      <c r="D14" s="174">
        <v>0</v>
      </c>
      <c r="E14" s="9" t="s">
        <v>195</v>
      </c>
      <c r="F14" s="185" t="s">
        <v>50</v>
      </c>
      <c r="G14" s="10">
        <v>44256</v>
      </c>
      <c r="H14" s="225"/>
      <c r="I14" s="225"/>
      <c r="J14" s="225"/>
      <c r="K14" s="17"/>
      <c r="L14" s="110">
        <v>44256</v>
      </c>
      <c r="M14" s="5">
        <v>44804</v>
      </c>
      <c r="N14" s="109" t="s">
        <v>92</v>
      </c>
      <c r="O14" s="22">
        <v>29340</v>
      </c>
      <c r="P14" s="22">
        <v>22000</v>
      </c>
      <c r="Q14" s="23">
        <f>P14+O14</f>
        <v>51340</v>
      </c>
      <c r="R14" s="62" t="s">
        <v>7</v>
      </c>
      <c r="S14" s="26">
        <v>0.05</v>
      </c>
      <c r="T14" s="214">
        <f>(S$12*S14)-(T$18*S14)</f>
        <v>8.4</v>
      </c>
      <c r="U14" s="21">
        <f>IF(S$11&lt;$M$14,$Q$14,#REF!)*S14</f>
        <v>2567</v>
      </c>
      <c r="V14" s="26">
        <v>0.05</v>
      </c>
      <c r="W14" s="214">
        <f>(V$12*V14)-(W$18*V14)</f>
        <v>8</v>
      </c>
      <c r="X14" s="21">
        <f>IF(V$11&lt;$M$14,$Q$14,#REF!)*V14</f>
        <v>2567</v>
      </c>
      <c r="Y14" s="26">
        <v>0.05</v>
      </c>
      <c r="Z14" s="214">
        <f>(Y$12*Y14)-(Z$18*Y14)</f>
        <v>9.2000000000000011</v>
      </c>
      <c r="AA14" s="21">
        <f>IF(Y$11&lt;$M$14,$Q$14,#REF!)*Y14</f>
        <v>2567</v>
      </c>
      <c r="AB14" s="26">
        <v>0.05</v>
      </c>
      <c r="AC14" s="214">
        <f>(AB$12*AB14)-(AC$18*AB14)</f>
        <v>8.4</v>
      </c>
      <c r="AD14" s="21">
        <f>IF(AB$11&lt;$M$14,$Q$14,#REF!)*AB14</f>
        <v>2567</v>
      </c>
      <c r="AE14" s="26">
        <v>0.05</v>
      </c>
      <c r="AF14" s="214">
        <f>(AE$12*AE14)-(AF$18*AE14)</f>
        <v>8.8000000000000007</v>
      </c>
      <c r="AG14" s="21">
        <f>IF(AE$11&lt;$M$14,$Q$14,#REF!)*AE14</f>
        <v>2567</v>
      </c>
      <c r="AH14" s="26">
        <v>0.05</v>
      </c>
      <c r="AI14" s="214">
        <f>(AH$12*AH14)-(AI$18*AH14)</f>
        <v>8.8000000000000007</v>
      </c>
      <c r="AJ14" s="21">
        <f>IF(AH$11&lt;$M$14,$Q$14,#REF!)*AH14</f>
        <v>2567</v>
      </c>
      <c r="AK14" s="26">
        <v>0.05</v>
      </c>
      <c r="AL14" s="214">
        <f>(AK$12*AK14)-(AL$18*AK14)</f>
        <v>8.4</v>
      </c>
      <c r="AM14" s="21">
        <f>IF(AK$11&lt;$M$14,$Q$14,#REF!)*AK14</f>
        <v>2567</v>
      </c>
      <c r="AN14" s="26">
        <v>0.05</v>
      </c>
      <c r="AO14" s="214">
        <f>(AN$12*AN14)-(AO$18*AN14)</f>
        <v>9.2000000000000011</v>
      </c>
      <c r="AP14" s="21">
        <f>IF(AN$11&lt;$M$14,$Q$14,#REF!)*AN14</f>
        <v>2567</v>
      </c>
      <c r="AQ14" s="26">
        <v>0.05</v>
      </c>
      <c r="AR14" s="214">
        <f>(AQ$12*AQ14)-(AR$18*AQ14)</f>
        <v>8.8000000000000007</v>
      </c>
      <c r="AS14" s="21">
        <f>IF(AQ$11&lt;$M$14,$Q$14,$Q$15)*AQ14</f>
        <v>2714</v>
      </c>
      <c r="AT14" s="26">
        <v>0.05</v>
      </c>
      <c r="AU14" s="214">
        <f t="shared" ref="AU14" si="8">(AT$12*AT14)-(AU$18*AT14)</f>
        <v>8.4</v>
      </c>
      <c r="AV14" s="21">
        <f t="shared" ref="AV14" si="9">IF(AT$11&lt;$M$14,$Q$14,$Q$15)*AT14</f>
        <v>2714</v>
      </c>
      <c r="AW14" s="26">
        <v>0.05</v>
      </c>
      <c r="AX14" s="214">
        <f t="shared" ref="AX14" si="10">(AW$12*AW14)-(AX$18*AW14)</f>
        <v>8.8000000000000007</v>
      </c>
      <c r="AY14" s="21">
        <f t="shared" ref="AY14" si="11">IF(AW$11&lt;$M$14,$Q$14,$Q$15)*AW14</f>
        <v>2714</v>
      </c>
      <c r="AZ14" s="26">
        <v>0.05</v>
      </c>
      <c r="BA14" s="214">
        <f t="shared" ref="BA14" si="12">(AZ$12*AZ14)-(BA$18*AZ14)</f>
        <v>8.8000000000000007</v>
      </c>
      <c r="BB14" s="21">
        <f t="shared" ref="BB14" si="13">IF(AZ$11&lt;$M$14,$Q$14,$Q$15)*AZ14</f>
        <v>2714</v>
      </c>
      <c r="BC14" s="285">
        <f>SUM(U14,X14,AA14,AD14,AG14,AJ14,AM14,AP14,AS14,AV14,AY14,BB14)</f>
        <v>31392</v>
      </c>
    </row>
    <row r="15" spans="1:60" ht="15" thickBot="1" x14ac:dyDescent="0.35">
      <c r="A15" s="570"/>
      <c r="B15" s="63" t="s">
        <v>9</v>
      </c>
      <c r="C15" s="158" t="s">
        <v>58</v>
      </c>
      <c r="D15" s="171"/>
      <c r="E15" s="4"/>
      <c r="F15" s="185" t="s">
        <v>50</v>
      </c>
      <c r="G15" s="10">
        <v>44256</v>
      </c>
      <c r="H15" s="222">
        <v>44742</v>
      </c>
      <c r="I15" s="222"/>
      <c r="J15" s="222"/>
      <c r="K15" s="18"/>
      <c r="L15" s="375">
        <v>44805</v>
      </c>
      <c r="M15" s="5">
        <v>44926</v>
      </c>
      <c r="N15" s="109" t="s">
        <v>92</v>
      </c>
      <c r="O15" s="22">
        <f>1614+30666</f>
        <v>32280</v>
      </c>
      <c r="P15" s="22">
        <f>1100+20900</f>
        <v>22000</v>
      </c>
      <c r="Q15" s="23">
        <f>P15+O15</f>
        <v>54280</v>
      </c>
      <c r="R15" s="63" t="s">
        <v>9</v>
      </c>
      <c r="S15" s="450">
        <v>0.55000000000000004</v>
      </c>
      <c r="T15" s="214">
        <f>(S$12*S15)-(T$18*S15)</f>
        <v>92.4</v>
      </c>
      <c r="U15" s="21">
        <f>IF(S$11&lt;$M$14,$Q$14,#REF!)*S15</f>
        <v>28237.000000000004</v>
      </c>
      <c r="V15" s="24">
        <v>0.55000000000000004</v>
      </c>
      <c r="W15" s="214">
        <f>(V$12*V15)-(W$18*V15)</f>
        <v>88</v>
      </c>
      <c r="X15" s="21">
        <f>IF(V$11&lt;$M$14,$Q$14,#REF!)*V15</f>
        <v>28237.000000000004</v>
      </c>
      <c r="Y15" s="24">
        <v>0.55000000000000004</v>
      </c>
      <c r="Z15" s="214">
        <f>(Y$12*Y15)-(Z$18*Y15)</f>
        <v>101.2</v>
      </c>
      <c r="AA15" s="21">
        <f>IF(Y$11&lt;$M$14,$Q$14,#REF!)*Y15</f>
        <v>28237.000000000004</v>
      </c>
      <c r="AB15" s="24">
        <v>0.55000000000000004</v>
      </c>
      <c r="AC15" s="214">
        <f>(AB$12*AB15)-(AC$18*AB15)</f>
        <v>92.4</v>
      </c>
      <c r="AD15" s="21">
        <f>IF(AB$11&lt;$M$14,$Q$14,#REF!)*AB15</f>
        <v>28237.000000000004</v>
      </c>
      <c r="AE15" s="24">
        <v>0.55000000000000004</v>
      </c>
      <c r="AF15" s="214">
        <f>(AE$12*AE15)-(AF$18*AE15)</f>
        <v>96.800000000000011</v>
      </c>
      <c r="AG15" s="21">
        <f>IF(AE$11&lt;$M$14,$Q$14,#REF!)*AE15</f>
        <v>28237.000000000004</v>
      </c>
      <c r="AH15" s="24">
        <v>0.55000000000000004</v>
      </c>
      <c r="AI15" s="214">
        <f>(AH$12*AH15)-(AI$18*AH15)</f>
        <v>96.800000000000011</v>
      </c>
      <c r="AJ15" s="21">
        <f>IF(AH$11&lt;$M$14,$Q$14,#REF!)*AH15</f>
        <v>28237.000000000004</v>
      </c>
      <c r="AK15" s="467"/>
      <c r="AL15" s="468"/>
      <c r="AM15" s="469"/>
      <c r="AN15" s="467"/>
      <c r="AO15" s="468"/>
      <c r="AP15" s="469"/>
      <c r="AQ15" s="467"/>
      <c r="AR15" s="468"/>
      <c r="AS15" s="469"/>
      <c r="AT15" s="467"/>
      <c r="AU15" s="468"/>
      <c r="AV15" s="469"/>
      <c r="AW15" s="467"/>
      <c r="AX15" s="468"/>
      <c r="AY15" s="469"/>
      <c r="AZ15" s="467"/>
      <c r="BA15" s="468"/>
      <c r="BB15" s="469"/>
      <c r="BC15" s="285">
        <f>SUM(U15,X15,AA15,AD15,AG15,AJ15,AM15,AP15,AS15,AV15,AY15,BB15)</f>
        <v>169422.00000000003</v>
      </c>
    </row>
    <row r="16" spans="1:60" ht="15" thickBot="1" x14ac:dyDescent="0.35">
      <c r="A16" s="570"/>
      <c r="B16" s="63" t="s">
        <v>155</v>
      </c>
      <c r="C16" s="158" t="s">
        <v>58</v>
      </c>
      <c r="D16" s="171"/>
      <c r="E16" s="4"/>
      <c r="F16" s="185" t="s">
        <v>50</v>
      </c>
      <c r="G16" s="10">
        <v>44256</v>
      </c>
      <c r="H16" s="222">
        <v>45199</v>
      </c>
      <c r="I16" s="222"/>
      <c r="J16" s="222"/>
      <c r="K16" s="18"/>
      <c r="L16" s="20"/>
      <c r="M16" s="22"/>
      <c r="N16" s="107"/>
      <c r="O16" s="22"/>
      <c r="P16" s="22"/>
      <c r="Q16" s="23"/>
      <c r="R16" s="63" t="s">
        <v>155</v>
      </c>
      <c r="S16" s="24">
        <v>0.4</v>
      </c>
      <c r="T16" s="214">
        <f>(S$12*S16)-(T$18*S16)</f>
        <v>67.2</v>
      </c>
      <c r="U16" s="21">
        <f>IF(S$11&lt;$M$14,$Q$14,#REF!)*S16</f>
        <v>20536</v>
      </c>
      <c r="V16" s="24">
        <v>0.4</v>
      </c>
      <c r="W16" s="214">
        <f>(V$12*V16)-(W$18*V16)</f>
        <v>64</v>
      </c>
      <c r="X16" s="21">
        <f>IF(V$11&lt;$M$14,$Q$14,#REF!)*V16</f>
        <v>20536</v>
      </c>
      <c r="Y16" s="24">
        <v>0.4</v>
      </c>
      <c r="Z16" s="214">
        <f>(Y$12*Y16)-(Z$18*Y16)</f>
        <v>73.600000000000009</v>
      </c>
      <c r="AA16" s="21">
        <f>IF(Y$11&lt;$M$14,$Q$14,#REF!)*Y16</f>
        <v>20536</v>
      </c>
      <c r="AB16" s="24">
        <v>0.4</v>
      </c>
      <c r="AC16" s="214">
        <f>(AB$12*AB16)-(AC$18*AB16)</f>
        <v>67.2</v>
      </c>
      <c r="AD16" s="21">
        <f>IF(AB$11&lt;$M$14,$Q$14,#REF!)*AB16</f>
        <v>20536</v>
      </c>
      <c r="AE16" s="24">
        <v>0.4</v>
      </c>
      <c r="AF16" s="214">
        <f>(AE$12*AE16)-(AF$18*AE16)</f>
        <v>70.400000000000006</v>
      </c>
      <c r="AG16" s="21">
        <f>IF(AE$11&lt;$M$14,$Q$14,#REF!)*AE16</f>
        <v>20536</v>
      </c>
      <c r="AH16" s="24">
        <v>0.4</v>
      </c>
      <c r="AI16" s="214">
        <f>(AH$12*AH16)-(AI$18*AH16)</f>
        <v>70.400000000000006</v>
      </c>
      <c r="AJ16" s="21">
        <f>IF(AH$11&lt;$M$14,$Q$14,#REF!)*AH16</f>
        <v>20536</v>
      </c>
      <c r="AK16" s="450">
        <v>0.95</v>
      </c>
      <c r="AL16" s="214">
        <f>(AK$12*AK16)-(AL$18*AK16)</f>
        <v>159.6</v>
      </c>
      <c r="AM16" s="21">
        <f>IF(AK$11&lt;$M$14,$Q$14,#REF!)*AK16</f>
        <v>48773</v>
      </c>
      <c r="AN16" s="24">
        <v>0.95</v>
      </c>
      <c r="AO16" s="214">
        <f>(AN$12*AN16)-(AO$18*AN16)</f>
        <v>174.79999999999998</v>
      </c>
      <c r="AP16" s="21">
        <f>IF(AN$11&lt;$M$14,$Q$14,#REF!)*AN16</f>
        <v>48773</v>
      </c>
      <c r="AQ16" s="24">
        <v>0.95</v>
      </c>
      <c r="AR16" s="214">
        <f>(AQ$12*AQ16)-(AR$18*AQ16)</f>
        <v>167.2</v>
      </c>
      <c r="AS16" s="21">
        <f>IF(AQ$11&lt;$M$14,$Q$14,$Q$15)*AQ16</f>
        <v>51566</v>
      </c>
      <c r="AT16" s="24">
        <v>0.95</v>
      </c>
      <c r="AU16" s="214">
        <f t="shared" ref="AU16" si="14">(AT$12*AT16)-(AU$18*AT16)</f>
        <v>159.6</v>
      </c>
      <c r="AV16" s="21">
        <f t="shared" ref="AV16" si="15">IF(AT$11&lt;$M$14,$Q$14,$Q$15)*AT16</f>
        <v>51566</v>
      </c>
      <c r="AW16" s="24">
        <v>0.95</v>
      </c>
      <c r="AX16" s="214">
        <f t="shared" ref="AX16" si="16">(AW$12*AW16)-(AX$18*AW16)</f>
        <v>167.2</v>
      </c>
      <c r="AY16" s="21">
        <f t="shared" ref="AY16" si="17">IF(AW$11&lt;$M$14,$Q$14,$Q$15)*AW16</f>
        <v>51566</v>
      </c>
      <c r="AZ16" s="24">
        <v>0.95</v>
      </c>
      <c r="BA16" s="214">
        <f t="shared" ref="BA16" si="18">(AZ$12*AZ16)-(BA$18*AZ16)</f>
        <v>167.2</v>
      </c>
      <c r="BB16" s="21">
        <f t="shared" ref="BB16" si="19">IF(AZ$11&lt;$M$14,$Q$14,$Q$15)*AZ16</f>
        <v>51566</v>
      </c>
      <c r="BC16" s="285">
        <f>SUM(U16,X16,AA16,AD16,AG16,AJ16,AM16,AP16,AS16,AV16,AY16,BB16)</f>
        <v>427026</v>
      </c>
    </row>
    <row r="17" spans="1:56" ht="15" thickBot="1" x14ac:dyDescent="0.35">
      <c r="A17" s="570"/>
      <c r="B17" s="63" t="s">
        <v>36</v>
      </c>
      <c r="C17" s="156"/>
      <c r="D17" s="171"/>
      <c r="E17" s="4"/>
      <c r="F17" s="182"/>
      <c r="G17" s="5"/>
      <c r="H17" s="222"/>
      <c r="I17" s="222"/>
      <c r="J17" s="222"/>
      <c r="K17" s="18"/>
      <c r="L17" s="20"/>
      <c r="M17" s="22"/>
      <c r="N17" s="107"/>
      <c r="O17" s="22"/>
      <c r="P17" s="22"/>
      <c r="Q17" s="23"/>
      <c r="R17" s="63" t="s">
        <v>36</v>
      </c>
      <c r="S17" s="27">
        <f t="shared" ref="S17:AS17" si="20">SUM(S14:S16)</f>
        <v>1</v>
      </c>
      <c r="T17" s="77">
        <f t="shared" si="20"/>
        <v>168</v>
      </c>
      <c r="U17" s="28">
        <f t="shared" si="20"/>
        <v>51340</v>
      </c>
      <c r="V17" s="27">
        <f t="shared" si="20"/>
        <v>1</v>
      </c>
      <c r="W17" s="77">
        <f t="shared" si="20"/>
        <v>160</v>
      </c>
      <c r="X17" s="28">
        <f t="shared" si="20"/>
        <v>51340</v>
      </c>
      <c r="Y17" s="27">
        <f t="shared" si="20"/>
        <v>1</v>
      </c>
      <c r="Z17" s="77">
        <f t="shared" si="20"/>
        <v>184</v>
      </c>
      <c r="AA17" s="28">
        <f t="shared" si="20"/>
        <v>51340</v>
      </c>
      <c r="AB17" s="27">
        <f t="shared" si="20"/>
        <v>1</v>
      </c>
      <c r="AC17" s="77">
        <f t="shared" si="20"/>
        <v>168</v>
      </c>
      <c r="AD17" s="28">
        <f t="shared" si="20"/>
        <v>51340</v>
      </c>
      <c r="AE17" s="27">
        <f t="shared" si="20"/>
        <v>1</v>
      </c>
      <c r="AF17" s="77">
        <f t="shared" si="20"/>
        <v>176</v>
      </c>
      <c r="AG17" s="28">
        <f t="shared" si="20"/>
        <v>51340</v>
      </c>
      <c r="AH17" s="27">
        <f t="shared" si="20"/>
        <v>1</v>
      </c>
      <c r="AI17" s="77">
        <f t="shared" si="20"/>
        <v>176</v>
      </c>
      <c r="AJ17" s="28">
        <f t="shared" si="20"/>
        <v>51340</v>
      </c>
      <c r="AK17" s="27">
        <f t="shared" si="20"/>
        <v>1</v>
      </c>
      <c r="AL17" s="77">
        <f t="shared" si="20"/>
        <v>168</v>
      </c>
      <c r="AM17" s="28">
        <f t="shared" si="20"/>
        <v>51340</v>
      </c>
      <c r="AN17" s="27">
        <f t="shared" si="20"/>
        <v>1</v>
      </c>
      <c r="AO17" s="77">
        <f t="shared" si="20"/>
        <v>183.99999999999997</v>
      </c>
      <c r="AP17" s="28">
        <f t="shared" si="20"/>
        <v>51340</v>
      </c>
      <c r="AQ17" s="27">
        <f t="shared" si="20"/>
        <v>1</v>
      </c>
      <c r="AR17" s="77">
        <f t="shared" si="20"/>
        <v>176</v>
      </c>
      <c r="AS17" s="28">
        <f t="shared" si="20"/>
        <v>54280</v>
      </c>
      <c r="AT17" s="27">
        <f t="shared" ref="AT17:BB17" si="21">SUM(AT14:AT16)</f>
        <v>1</v>
      </c>
      <c r="AU17" s="77">
        <f t="shared" si="21"/>
        <v>168</v>
      </c>
      <c r="AV17" s="28">
        <f t="shared" si="21"/>
        <v>54280</v>
      </c>
      <c r="AW17" s="27">
        <f t="shared" si="21"/>
        <v>1</v>
      </c>
      <c r="AX17" s="77">
        <f t="shared" si="21"/>
        <v>176</v>
      </c>
      <c r="AY17" s="28">
        <f t="shared" si="21"/>
        <v>54280</v>
      </c>
      <c r="AZ17" s="27">
        <f t="shared" si="21"/>
        <v>1</v>
      </c>
      <c r="BA17" s="77">
        <f t="shared" si="21"/>
        <v>176</v>
      </c>
      <c r="BB17" s="28">
        <f t="shared" si="21"/>
        <v>54280</v>
      </c>
      <c r="BC17" s="285">
        <f>SUM(U17,X17,AA17,AD17,AG17,AJ17,AM17,AP17,AS17,AV17,AY17,BB17)</f>
        <v>627840</v>
      </c>
    </row>
    <row r="18" spans="1:56" ht="15" thickBot="1" x14ac:dyDescent="0.35">
      <c r="A18" s="571"/>
      <c r="B18" s="340" t="s">
        <v>27</v>
      </c>
      <c r="C18" s="157"/>
      <c r="D18" s="173"/>
      <c r="E18" s="6"/>
      <c r="F18" s="184"/>
      <c r="G18" s="8"/>
      <c r="H18" s="224"/>
      <c r="I18" s="224"/>
      <c r="J18" s="224"/>
      <c r="K18" s="16"/>
      <c r="L18" s="29"/>
      <c r="M18" s="108"/>
      <c r="N18" s="111"/>
      <c r="O18" s="108"/>
      <c r="P18" s="108"/>
      <c r="Q18" s="99"/>
      <c r="R18" s="342" t="s">
        <v>27</v>
      </c>
      <c r="S18" s="25"/>
      <c r="T18" s="78">
        <f>S18*8*S17</f>
        <v>0</v>
      </c>
      <c r="U18" s="13"/>
      <c r="V18" s="25"/>
      <c r="W18" s="78">
        <f>V18*8*V17</f>
        <v>0</v>
      </c>
      <c r="X18" s="13"/>
      <c r="Y18" s="25"/>
      <c r="Z18" s="78">
        <f>Y18*8*Y17</f>
        <v>0</v>
      </c>
      <c r="AA18" s="13"/>
      <c r="AB18" s="25"/>
      <c r="AC18" s="78">
        <f>AB18*8*AB17</f>
        <v>0</v>
      </c>
      <c r="AD18" s="13"/>
      <c r="AE18" s="25"/>
      <c r="AF18" s="78">
        <f>AE18*8*AE17</f>
        <v>0</v>
      </c>
      <c r="AG18" s="13"/>
      <c r="AH18" s="25"/>
      <c r="AI18" s="78">
        <f>AH18*8*AH17</f>
        <v>0</v>
      </c>
      <c r="AJ18" s="13"/>
      <c r="AK18" s="25"/>
      <c r="AL18" s="78">
        <f>AK18*8*AK17</f>
        <v>0</v>
      </c>
      <c r="AM18" s="13"/>
      <c r="AN18" s="25"/>
      <c r="AO18" s="78">
        <f>AN18*8*AN17</f>
        <v>0</v>
      </c>
      <c r="AP18" s="13"/>
      <c r="AQ18" s="25"/>
      <c r="AR18" s="78">
        <f>AQ18*8*AQ17</f>
        <v>0</v>
      </c>
      <c r="AS18" s="13"/>
      <c r="AT18" s="25"/>
      <c r="AU18" s="78">
        <f t="shared" ref="AU18" si="22">AT18*8*AT17</f>
        <v>0</v>
      </c>
      <c r="AV18" s="13"/>
      <c r="AW18" s="25"/>
      <c r="AX18" s="78">
        <f t="shared" ref="AX18" si="23">AW18*8*AW17</f>
        <v>0</v>
      </c>
      <c r="AY18" s="13"/>
      <c r="AZ18" s="25"/>
      <c r="BA18" s="78">
        <f t="shared" ref="BA18" si="24">AZ18*8*AZ17</f>
        <v>0</v>
      </c>
      <c r="BB18" s="13"/>
      <c r="BC18" s="344">
        <f>(25+'PŘEHLED 2020'!BA17)-(S18+V18+Y18+AB18+AE18+AH18+AK18+AN18+AQ18+AT18+AW18+AZ18)</f>
        <v>29</v>
      </c>
    </row>
    <row r="19" spans="1:56" ht="15" thickBot="1" x14ac:dyDescent="0.35">
      <c r="A19" s="539" t="s">
        <v>62</v>
      </c>
      <c r="B19" s="62" t="s">
        <v>7</v>
      </c>
      <c r="C19" s="216" t="s">
        <v>57</v>
      </c>
      <c r="D19" s="170">
        <v>0.2</v>
      </c>
      <c r="E19" s="3"/>
      <c r="F19" s="181" t="s">
        <v>50</v>
      </c>
      <c r="G19" s="132">
        <v>42522</v>
      </c>
      <c r="H19" s="221"/>
      <c r="I19" s="221"/>
      <c r="J19" s="221"/>
      <c r="K19" s="138"/>
      <c r="L19" s="110">
        <v>44136</v>
      </c>
      <c r="M19" s="5">
        <v>44742</v>
      </c>
      <c r="N19" s="109" t="s">
        <v>14</v>
      </c>
      <c r="O19" s="22">
        <v>25530</v>
      </c>
      <c r="P19" s="22">
        <v>2100</v>
      </c>
      <c r="Q19" s="23">
        <f>P19+O19</f>
        <v>27630</v>
      </c>
      <c r="R19" s="125" t="s">
        <v>7</v>
      </c>
      <c r="S19" s="118">
        <v>0.05</v>
      </c>
      <c r="T19" s="215">
        <f>(S$12*S19)-(T$24*S19)</f>
        <v>8.4</v>
      </c>
      <c r="U19" s="456">
        <f>(1/S$23)*IF(S$11&lt;$M$19,$Q$19,$Q$20)*S19</f>
        <v>1973.5714285714287</v>
      </c>
      <c r="V19" s="118">
        <v>0.05</v>
      </c>
      <c r="W19" s="215">
        <f>(V$12*V19)-(W$24*V19)</f>
        <v>8</v>
      </c>
      <c r="X19" s="456">
        <f>(1/V$23)*IF(V$11&lt;$M$19,$Q$19,$Q$20)*V19</f>
        <v>1973.5714285714287</v>
      </c>
      <c r="Y19" s="118">
        <v>0.05</v>
      </c>
      <c r="Z19" s="215">
        <f>(Y$12*Y19)-(Z$24*Y19)</f>
        <v>9.2000000000000011</v>
      </c>
      <c r="AA19" s="456">
        <f>(1/Y$23)*IF(Y$11&lt;$M$19,$Q$19,$Q$20)*Y19</f>
        <v>1973.5714285714287</v>
      </c>
      <c r="AB19" s="118">
        <v>0.05</v>
      </c>
      <c r="AC19" s="215">
        <f>(AB$12*AB19)-(AC$24*AB19)</f>
        <v>8.4</v>
      </c>
      <c r="AD19" s="456">
        <f>(1/AB$23)*IF(AB$11&lt;$M$19,$Q$19,$Q$20)*AB19</f>
        <v>1973.5714285714287</v>
      </c>
      <c r="AE19" s="118">
        <v>0.05</v>
      </c>
      <c r="AF19" s="215">
        <f>(AE$12*AE19)-(AF$24*AE19)</f>
        <v>8.8000000000000007</v>
      </c>
      <c r="AG19" s="456">
        <f>(1/AE$23)*IF(AE$11&lt;$M$19,$Q$19,$Q$20)*AE19</f>
        <v>1973.5714285714287</v>
      </c>
      <c r="AH19" s="118">
        <v>0.05</v>
      </c>
      <c r="AI19" s="215">
        <f>(AH$12*AH19)-(AI$24*AH19)</f>
        <v>8.8000000000000007</v>
      </c>
      <c r="AJ19" s="456">
        <f>(1/AH$23)*IF(AH$11&lt;$M$19,$Q$19,$Q$20)*AH19</f>
        <v>1973.5714285714287</v>
      </c>
      <c r="AK19" s="118">
        <v>0.05</v>
      </c>
      <c r="AL19" s="215">
        <f>(AK$12*AK19)-(AL$24*AK19)</f>
        <v>8.4</v>
      </c>
      <c r="AM19" s="456">
        <f>(1/AK$23)*IF(AK$11&lt;$M$19,$Q$19,$Q$20)*AK19</f>
        <v>1973.625</v>
      </c>
      <c r="AN19" s="118">
        <v>0.05</v>
      </c>
      <c r="AO19" s="215">
        <f>(AN$12*AN19)-(AO$24*AN19)</f>
        <v>9.2000000000000011</v>
      </c>
      <c r="AP19" s="456">
        <f>(1/AN$23)*IF(AN$11&lt;$M$19,$Q$19,$Q$20)*AN19</f>
        <v>1973.625</v>
      </c>
      <c r="AQ19" s="118">
        <v>0.05</v>
      </c>
      <c r="AR19" s="215">
        <f>(AQ$12*AQ19)-(AR$24*AQ19)</f>
        <v>8.8000000000000007</v>
      </c>
      <c r="AS19" s="456">
        <f>(1/AQ$23)*IF(AQ$11&lt;$M$20,$Q$20,$Q$21)*AQ19</f>
        <v>2156</v>
      </c>
      <c r="AT19" s="118">
        <v>0.05</v>
      </c>
      <c r="AU19" s="215">
        <f t="shared" ref="AU19" si="25">(AT$12*AT19)-(AU$24*AT19)</f>
        <v>8.4</v>
      </c>
      <c r="AV19" s="456">
        <f t="shared" ref="AV19:AV20" si="26">(1/AT$23)*IF(AT$11&lt;$M$20,$Q$20,$Q$21)*AT19</f>
        <v>2156</v>
      </c>
      <c r="AW19" s="118">
        <v>0.05</v>
      </c>
      <c r="AX19" s="215">
        <f t="shared" ref="AX19" si="27">(AW$12*AW19)-(AX$24*AW19)</f>
        <v>8.8000000000000007</v>
      </c>
      <c r="AY19" s="456">
        <f t="shared" ref="AY19:AY20" si="28">(1/AW$23)*IF(AW$11&lt;$M$20,$Q$20,$Q$21)*AW19</f>
        <v>2156</v>
      </c>
      <c r="AZ19" s="118">
        <v>0.05</v>
      </c>
      <c r="BA19" s="215">
        <f t="shared" ref="BA19" si="29">(AZ$12*AZ19)-(BA$24*AZ19)</f>
        <v>8.8000000000000007</v>
      </c>
      <c r="BB19" s="456">
        <f t="shared" ref="BB19:BB20" si="30">(1/AZ$23)*IF(AZ$11&lt;$M$20,$Q$20,$Q$21)*AZ19</f>
        <v>2156</v>
      </c>
      <c r="BC19" s="285">
        <f>SUM(U19,X19,AA19,AD19,AG19,AJ19,AM19,AP19,AS19,AV19,AY19,BB19)</f>
        <v>24412.678571428572</v>
      </c>
    </row>
    <row r="20" spans="1:56" ht="15" thickBot="1" x14ac:dyDescent="0.35">
      <c r="A20" s="540"/>
      <c r="B20" s="63" t="s">
        <v>6</v>
      </c>
      <c r="C20" s="217" t="s">
        <v>58</v>
      </c>
      <c r="D20" s="171"/>
      <c r="E20" s="4" t="s">
        <v>59</v>
      </c>
      <c r="F20" s="182" t="s">
        <v>50</v>
      </c>
      <c r="G20" s="5">
        <v>43831</v>
      </c>
      <c r="H20" s="222">
        <v>45230</v>
      </c>
      <c r="I20" s="222"/>
      <c r="J20" s="222"/>
      <c r="K20" s="18"/>
      <c r="L20" s="375">
        <v>44743</v>
      </c>
      <c r="M20" s="5">
        <v>44803</v>
      </c>
      <c r="N20" s="109" t="s">
        <v>14</v>
      </c>
      <c r="O20" s="22">
        <f>1824+9118+3647</f>
        <v>14589</v>
      </c>
      <c r="P20" s="22">
        <f>150+750+300</f>
        <v>1200</v>
      </c>
      <c r="Q20" s="23">
        <f>P20+O20</f>
        <v>15789</v>
      </c>
      <c r="R20" s="31" t="s">
        <v>6</v>
      </c>
      <c r="S20" s="24">
        <v>0.25</v>
      </c>
      <c r="T20" s="96">
        <f>(S$12*S20)-(T$24*S20)</f>
        <v>42</v>
      </c>
      <c r="U20" s="456">
        <f>(1/S$23)*IF(S$11&lt;$M$19,$Q$19,$Q$20)*S20</f>
        <v>9867.8571428571431</v>
      </c>
      <c r="V20" s="24">
        <v>0.25</v>
      </c>
      <c r="W20" s="96">
        <f>(V$12*V20)-(W$24*V20)</f>
        <v>40</v>
      </c>
      <c r="X20" s="456">
        <f>(1/V$23)*IF(V$11&lt;$M$19,$Q$19,$Q$20)*V20</f>
        <v>9867.8571428571431</v>
      </c>
      <c r="Y20" s="24">
        <v>0.25</v>
      </c>
      <c r="Z20" s="96">
        <f>(Y$12*Y20)-(Z$24*Y20)</f>
        <v>46</v>
      </c>
      <c r="AA20" s="456">
        <f>(1/Y$23)*IF(Y$11&lt;$M$19,$Q$19,$Q$20)*Y20</f>
        <v>9867.8571428571431</v>
      </c>
      <c r="AB20" s="24">
        <v>0.25</v>
      </c>
      <c r="AC20" s="96">
        <f>(AB$12*AB20)-(AC$24*AB20)</f>
        <v>42</v>
      </c>
      <c r="AD20" s="456">
        <f>(1/AB$23)*IF(AB$11&lt;$M$19,$Q$19,$Q$20)*AB20</f>
        <v>9867.8571428571431</v>
      </c>
      <c r="AE20" s="24">
        <v>0.25</v>
      </c>
      <c r="AF20" s="96">
        <f>(AE$12*AE20)-(AF$24*AE20)</f>
        <v>44</v>
      </c>
      <c r="AG20" s="456">
        <f>(1/AE$23)*IF(AE$11&lt;$M$19,$Q$19,$Q$20)*AE20</f>
        <v>9867.8571428571431</v>
      </c>
      <c r="AH20" s="24">
        <v>0.25</v>
      </c>
      <c r="AI20" s="96">
        <f>(AH$12*AH20)-(AI$24*AH20)</f>
        <v>44</v>
      </c>
      <c r="AJ20" s="456">
        <f>(1/AH$23)*IF(AH$11&lt;$M$19,$Q$19,$Q$20)*AH20</f>
        <v>9867.8571428571431</v>
      </c>
      <c r="AK20" s="24">
        <v>0.25</v>
      </c>
      <c r="AL20" s="96">
        <f>(AK$12*AK20)-(AL$24*AK20)</f>
        <v>42</v>
      </c>
      <c r="AM20" s="456">
        <f>(1/AK$23)*IF(AK$11&lt;$M$19,$Q$19,$Q$20)*AK20</f>
        <v>9868.125</v>
      </c>
      <c r="AN20" s="24">
        <v>0.25</v>
      </c>
      <c r="AO20" s="96">
        <f>(AN$12*AN20)-(AO$24*AN20)</f>
        <v>46</v>
      </c>
      <c r="AP20" s="456">
        <f>(1/AN$23)*IF(AN$11&lt;$M$19,$Q$19,$Q$20)*AN20</f>
        <v>9868.125</v>
      </c>
      <c r="AQ20" s="24">
        <v>0.25</v>
      </c>
      <c r="AR20" s="96">
        <f>(AQ$12*AQ20)-(AR$24*AQ20)</f>
        <v>44</v>
      </c>
      <c r="AS20" s="456">
        <f>(1/AQ$23)*IF(AQ$11&lt;$M$20,$Q$20,$Q$21)*AQ20</f>
        <v>10780</v>
      </c>
      <c r="AT20" s="24">
        <v>0.25</v>
      </c>
      <c r="AU20" s="96">
        <f t="shared" ref="AU20" si="31">(AT$12*AT20)-(AU$24*AT20)</f>
        <v>42</v>
      </c>
      <c r="AV20" s="456">
        <f t="shared" si="26"/>
        <v>10780</v>
      </c>
      <c r="AW20" s="24">
        <v>0.25</v>
      </c>
      <c r="AX20" s="96">
        <f t="shared" ref="AX20" si="32">(AW$12*AW20)-(AX$24*AW20)</f>
        <v>44</v>
      </c>
      <c r="AY20" s="456">
        <f t="shared" si="28"/>
        <v>10780</v>
      </c>
      <c r="AZ20" s="24">
        <v>0.25</v>
      </c>
      <c r="BA20" s="96">
        <f t="shared" ref="BA20" si="33">(AZ$12*AZ20)-(BA$24*AZ20)</f>
        <v>44</v>
      </c>
      <c r="BB20" s="456">
        <f t="shared" si="30"/>
        <v>10780</v>
      </c>
      <c r="BC20" s="285">
        <f>SUM(U20,X20,AA20,AD20,AG20,AJ20,AM20,AP20,AS20,AV20,AY20,BB20)</f>
        <v>122063.39285714287</v>
      </c>
    </row>
    <row r="21" spans="1:56" ht="15" thickBot="1" x14ac:dyDescent="0.35">
      <c r="A21" s="540"/>
      <c r="B21" s="63" t="s">
        <v>9</v>
      </c>
      <c r="C21" s="217" t="s">
        <v>58</v>
      </c>
      <c r="D21" s="171"/>
      <c r="E21" s="4"/>
      <c r="F21" s="182" t="s">
        <v>50</v>
      </c>
      <c r="G21" s="5">
        <v>43831</v>
      </c>
      <c r="H21" s="222">
        <v>44742</v>
      </c>
      <c r="I21" s="222"/>
      <c r="J21" s="222"/>
      <c r="K21" s="18"/>
      <c r="L21" s="375">
        <v>44805</v>
      </c>
      <c r="M21" s="5">
        <v>44926</v>
      </c>
      <c r="N21" s="109" t="s">
        <v>14</v>
      </c>
      <c r="O21" s="22">
        <f>4012+10030+2006</f>
        <v>16048</v>
      </c>
      <c r="P21" s="22">
        <f>300+750+150</f>
        <v>1200</v>
      </c>
      <c r="Q21" s="23">
        <f>P21+O21</f>
        <v>17248</v>
      </c>
      <c r="R21" s="31" t="s">
        <v>9</v>
      </c>
      <c r="S21" s="24">
        <v>0.3</v>
      </c>
      <c r="T21" s="117">
        <f>(S$12*S21)-(T$24*S21)</f>
        <v>50.4</v>
      </c>
      <c r="U21" s="456">
        <f>(1/S$23)*IF(S$11&lt;$M$19,$Q$19,$Q$20)*S21</f>
        <v>11841.428571428571</v>
      </c>
      <c r="V21" s="24">
        <v>0.3</v>
      </c>
      <c r="W21" s="117">
        <f>(V$12*V21)-(W$24*V21)</f>
        <v>48</v>
      </c>
      <c r="X21" s="456">
        <f>(1/V$23)*IF(V$11&lt;$M$19,$Q$19,$Q$20)*V21</f>
        <v>11841.428571428571</v>
      </c>
      <c r="Y21" s="24">
        <v>0.3</v>
      </c>
      <c r="Z21" s="117">
        <f>(Y$12*Y21)-(Z$24*Y21)</f>
        <v>55.199999999999996</v>
      </c>
      <c r="AA21" s="456">
        <f>(1/Y$23)*IF(Y$11&lt;$M$19,$Q$19,$Q$20)*Y21</f>
        <v>11841.428571428571</v>
      </c>
      <c r="AB21" s="24">
        <v>0.3</v>
      </c>
      <c r="AC21" s="117">
        <f>(AB$12*AB21)-(AC$24*AB21)</f>
        <v>50.4</v>
      </c>
      <c r="AD21" s="456">
        <f>(1/AB$23)*IF(AB$11&lt;$M$19,$Q$19,$Q$20)*AB21</f>
        <v>11841.428571428571</v>
      </c>
      <c r="AE21" s="24">
        <v>0.3</v>
      </c>
      <c r="AF21" s="117">
        <f>(AE$12*AE21)-(AF$24*AE21)</f>
        <v>52.8</v>
      </c>
      <c r="AG21" s="456">
        <f>(1/AE$23)*IF(AE$11&lt;$M$19,$Q$19,$Q$20)*AE21</f>
        <v>11841.428571428571</v>
      </c>
      <c r="AH21" s="24">
        <v>0.3</v>
      </c>
      <c r="AI21" s="117">
        <f>(AH$12*AH21)-(AI$24*AH21)</f>
        <v>52.8</v>
      </c>
      <c r="AJ21" s="456">
        <f>(1/AH$23)*IF(AH$11&lt;$M$19,$Q$19,$Q$20)*AH21</f>
        <v>11841.428571428571</v>
      </c>
      <c r="AK21" s="467"/>
      <c r="AL21" s="479"/>
      <c r="AM21" s="469"/>
      <c r="AN21" s="467"/>
      <c r="AO21" s="479"/>
      <c r="AP21" s="469"/>
      <c r="AQ21" s="467"/>
      <c r="AR21" s="479"/>
      <c r="AS21" s="469"/>
      <c r="AT21" s="467"/>
      <c r="AU21" s="479"/>
      <c r="AV21" s="469"/>
      <c r="AW21" s="467"/>
      <c r="AX21" s="479"/>
      <c r="AY21" s="469"/>
      <c r="AZ21" s="467"/>
      <c r="BA21" s="479"/>
      <c r="BB21" s="469"/>
      <c r="BC21" s="285">
        <f>SUM(U21,X21,AA21,AD21,AG21,AJ21,AM21,AP21,AS21,AV21,AY21,BB21)</f>
        <v>71048.57142857142</v>
      </c>
    </row>
    <row r="22" spans="1:56" ht="15" thickBot="1" x14ac:dyDescent="0.35">
      <c r="A22" s="540"/>
      <c r="B22" s="63" t="s">
        <v>29</v>
      </c>
      <c r="C22" s="217" t="s">
        <v>58</v>
      </c>
      <c r="D22" s="171"/>
      <c r="E22" s="4"/>
      <c r="F22" s="182" t="s">
        <v>50</v>
      </c>
      <c r="G22" s="5">
        <v>44136</v>
      </c>
      <c r="H22" s="168">
        <v>44926</v>
      </c>
      <c r="I22" s="5"/>
      <c r="J22" s="5"/>
      <c r="K22" s="18"/>
      <c r="L22" s="20"/>
      <c r="M22" s="22"/>
      <c r="N22" s="22"/>
      <c r="O22" s="22"/>
      <c r="P22" s="22"/>
      <c r="Q22" s="126"/>
      <c r="R22" s="31" t="s">
        <v>29</v>
      </c>
      <c r="S22" s="24">
        <v>0.1</v>
      </c>
      <c r="T22" s="117">
        <f>(S$12*S22)-(T$24*S22)</f>
        <v>16.8</v>
      </c>
      <c r="U22" s="456">
        <f>(1/S$23)*IF(S$11&lt;$M$19,$Q$19,$Q$20)*S22</f>
        <v>3947.1428571428573</v>
      </c>
      <c r="V22" s="24">
        <v>0.1</v>
      </c>
      <c r="W22" s="117">
        <f>(V$12*V22)-(W$24*V22)</f>
        <v>16</v>
      </c>
      <c r="X22" s="456">
        <f>(1/V$23)*IF(V$11&lt;$M$19,$Q$19,$Q$20)*V22</f>
        <v>3947.1428571428573</v>
      </c>
      <c r="Y22" s="24">
        <v>0.1</v>
      </c>
      <c r="Z22" s="117">
        <f>(Y$12*Y22)-(Z$24*Y22)</f>
        <v>18.400000000000002</v>
      </c>
      <c r="AA22" s="456">
        <f>(1/Y$23)*IF(Y$11&lt;$M$19,$Q$19,$Q$20)*Y22</f>
        <v>3947.1428571428573</v>
      </c>
      <c r="AB22" s="24">
        <v>0.1</v>
      </c>
      <c r="AC22" s="117">
        <f>(AB$12*AB22)-(AC$24*AB22)</f>
        <v>16.8</v>
      </c>
      <c r="AD22" s="456">
        <f>(1/AB$23)*IF(AB$11&lt;$M$19,$Q$19,$Q$20)*AB22</f>
        <v>3947.1428571428573</v>
      </c>
      <c r="AE22" s="24">
        <v>0.1</v>
      </c>
      <c r="AF22" s="117">
        <f>(AE$12*AE22)-(AF$24*AE22)</f>
        <v>17.600000000000001</v>
      </c>
      <c r="AG22" s="456">
        <f>(1/AE$23)*IF(AE$11&lt;$M$19,$Q$19,$Q$20)*AE22</f>
        <v>3947.1428571428573</v>
      </c>
      <c r="AH22" s="24">
        <v>0.1</v>
      </c>
      <c r="AI22" s="117">
        <f>(AH$12*AH22)-(AI$24*AH22)</f>
        <v>17.600000000000001</v>
      </c>
      <c r="AJ22" s="456">
        <f>(1/AH$23)*IF(AH$11&lt;$M$19,$Q$19,$Q$20)*AH22</f>
        <v>3947.1428571428573</v>
      </c>
      <c r="AK22" s="24">
        <v>0.1</v>
      </c>
      <c r="AL22" s="117">
        <f t="shared" ref="AL22" si="34">(AK$12*AK22)-(AL$24*AK22)</f>
        <v>16.8</v>
      </c>
      <c r="AM22" s="456">
        <f t="shared" ref="AM22" si="35">(1/AK$23)*IF(AK$11&lt;$M$19,$Q$19,$Q$20)*AK22</f>
        <v>3947.25</v>
      </c>
      <c r="AN22" s="24">
        <v>0.1</v>
      </c>
      <c r="AO22" s="117">
        <f t="shared" ref="AO22" si="36">(AN$12*AN22)-(AO$24*AN22)</f>
        <v>18.400000000000002</v>
      </c>
      <c r="AP22" s="456">
        <f t="shared" ref="AP22" si="37">(1/AN$23)*IF(AN$11&lt;$M$19,$Q$19,$Q$20)*AN22</f>
        <v>3947.25</v>
      </c>
      <c r="AQ22" s="24">
        <v>0.1</v>
      </c>
      <c r="AR22" s="117">
        <f t="shared" ref="AR22" si="38">(AQ$12*AQ22)-(AR$24*AQ22)</f>
        <v>17.600000000000001</v>
      </c>
      <c r="AS22" s="456">
        <f>(1/AQ$23)*IF(AQ$11&lt;$M$20,$Q$20,$Q$21)*AQ22</f>
        <v>4312</v>
      </c>
      <c r="AT22" s="24">
        <v>0.1</v>
      </c>
      <c r="AU22" s="117">
        <f t="shared" ref="AU22" si="39">(AT$12*AT22)-(AU$24*AT22)</f>
        <v>16.8</v>
      </c>
      <c r="AV22" s="456">
        <f t="shared" ref="AV22" si="40">(1/AT$23)*IF(AT$11&lt;$M$20,$Q$20,$Q$21)*AT22</f>
        <v>4312</v>
      </c>
      <c r="AW22" s="24">
        <v>0.1</v>
      </c>
      <c r="AX22" s="117">
        <f t="shared" ref="AX22" si="41">(AW$12*AW22)-(AX$24*AW22)</f>
        <v>17.600000000000001</v>
      </c>
      <c r="AY22" s="456">
        <f t="shared" ref="AY22" si="42">(1/AW$23)*IF(AW$11&lt;$M$20,$Q$20,$Q$21)*AW22</f>
        <v>4312</v>
      </c>
      <c r="AZ22" s="480">
        <v>0.1</v>
      </c>
      <c r="BA22" s="490">
        <f t="shared" ref="BA22" si="43">(AZ$12*AZ22)-(BA$24*AZ22)</f>
        <v>17.600000000000001</v>
      </c>
      <c r="BB22" s="489">
        <f t="shared" ref="BB22" si="44">(1/AZ$23)*IF(AZ$11&lt;$M$20,$Q$20,$Q$21)*AZ22</f>
        <v>4312</v>
      </c>
      <c r="BC22" s="285">
        <f>SUM(U22,X22,AA22,AD22,AG22,AJ22,AM22,AP22,AS22,AV22,AY22,BB22)</f>
        <v>48825.357142857145</v>
      </c>
      <c r="BD22" t="s">
        <v>196</v>
      </c>
    </row>
    <row r="23" spans="1:56" ht="15" thickBot="1" x14ac:dyDescent="0.35">
      <c r="A23" s="540"/>
      <c r="B23" s="63" t="s">
        <v>36</v>
      </c>
      <c r="C23" s="197"/>
      <c r="D23" s="172"/>
      <c r="E23" s="69"/>
      <c r="F23" s="183"/>
      <c r="G23" s="84"/>
      <c r="H23" s="223"/>
      <c r="I23" s="223"/>
      <c r="J23" s="223"/>
      <c r="K23" s="85"/>
      <c r="L23" s="20"/>
      <c r="M23" s="22"/>
      <c r="N23" s="22"/>
      <c r="O23" s="22"/>
      <c r="P23" s="22"/>
      <c r="Q23" s="126"/>
      <c r="R23" s="104" t="s">
        <v>36</v>
      </c>
      <c r="S23" s="82">
        <f t="shared" ref="S23:AS23" si="45">SUM(S19:S22)</f>
        <v>0.7</v>
      </c>
      <c r="T23" s="105">
        <f t="shared" si="45"/>
        <v>117.6</v>
      </c>
      <c r="U23" s="28">
        <f t="shared" si="45"/>
        <v>27630.000000000004</v>
      </c>
      <c r="V23" s="82">
        <f t="shared" si="45"/>
        <v>0.7</v>
      </c>
      <c r="W23" s="105">
        <f t="shared" si="45"/>
        <v>112</v>
      </c>
      <c r="X23" s="28">
        <f t="shared" si="45"/>
        <v>27630.000000000004</v>
      </c>
      <c r="Y23" s="82">
        <f t="shared" si="45"/>
        <v>0.7</v>
      </c>
      <c r="Z23" s="105">
        <f t="shared" si="45"/>
        <v>128.80000000000001</v>
      </c>
      <c r="AA23" s="28">
        <f t="shared" si="45"/>
        <v>27630.000000000004</v>
      </c>
      <c r="AB23" s="82">
        <f t="shared" si="45"/>
        <v>0.7</v>
      </c>
      <c r="AC23" s="105">
        <f t="shared" si="45"/>
        <v>117.6</v>
      </c>
      <c r="AD23" s="28">
        <f t="shared" si="45"/>
        <v>27630.000000000004</v>
      </c>
      <c r="AE23" s="82">
        <f t="shared" si="45"/>
        <v>0.7</v>
      </c>
      <c r="AF23" s="105">
        <f t="shared" si="45"/>
        <v>123.19999999999999</v>
      </c>
      <c r="AG23" s="28">
        <f t="shared" si="45"/>
        <v>27630.000000000004</v>
      </c>
      <c r="AH23" s="82">
        <f t="shared" si="45"/>
        <v>0.7</v>
      </c>
      <c r="AI23" s="105">
        <f t="shared" si="45"/>
        <v>123.19999999999999</v>
      </c>
      <c r="AJ23" s="28">
        <f t="shared" si="45"/>
        <v>27630.000000000004</v>
      </c>
      <c r="AK23" s="502">
        <f t="shared" si="45"/>
        <v>0.4</v>
      </c>
      <c r="AL23" s="105">
        <f t="shared" si="45"/>
        <v>67.2</v>
      </c>
      <c r="AM23" s="83">
        <f>SUM(AM19:AM22)</f>
        <v>15789</v>
      </c>
      <c r="AN23" s="82">
        <f t="shared" si="45"/>
        <v>0.4</v>
      </c>
      <c r="AO23" s="105">
        <f t="shared" si="45"/>
        <v>73.600000000000009</v>
      </c>
      <c r="AP23" s="83">
        <f t="shared" si="45"/>
        <v>15789</v>
      </c>
      <c r="AQ23" s="82">
        <f t="shared" si="45"/>
        <v>0.4</v>
      </c>
      <c r="AR23" s="105">
        <f t="shared" si="45"/>
        <v>70.400000000000006</v>
      </c>
      <c r="AS23" s="83">
        <f t="shared" si="45"/>
        <v>17248</v>
      </c>
      <c r="AT23" s="82">
        <f t="shared" ref="AT23:BB23" si="46">SUM(AT19:AT22)</f>
        <v>0.4</v>
      </c>
      <c r="AU23" s="105">
        <f t="shared" si="46"/>
        <v>67.2</v>
      </c>
      <c r="AV23" s="83">
        <f t="shared" si="46"/>
        <v>17248</v>
      </c>
      <c r="AW23" s="82">
        <f t="shared" si="46"/>
        <v>0.4</v>
      </c>
      <c r="AX23" s="105">
        <f t="shared" si="46"/>
        <v>70.400000000000006</v>
      </c>
      <c r="AY23" s="83">
        <f t="shared" si="46"/>
        <v>17248</v>
      </c>
      <c r="AZ23" s="82">
        <f t="shared" si="46"/>
        <v>0.4</v>
      </c>
      <c r="BA23" s="105">
        <f t="shared" si="46"/>
        <v>70.400000000000006</v>
      </c>
      <c r="BB23" s="83">
        <f t="shared" si="46"/>
        <v>17248</v>
      </c>
      <c r="BC23" s="285">
        <f>SUM(U23,X23,AA23,AD23,AG23,AJ23,AM23,AP23,AS23,AV23,AY23,BB23)</f>
        <v>266350</v>
      </c>
    </row>
    <row r="24" spans="1:56" ht="15" thickBot="1" x14ac:dyDescent="0.35">
      <c r="A24" s="541"/>
      <c r="B24" s="340" t="s">
        <v>27</v>
      </c>
      <c r="C24" s="218"/>
      <c r="D24" s="173"/>
      <c r="E24" s="6"/>
      <c r="F24" s="184"/>
      <c r="G24" s="8"/>
      <c r="H24" s="224"/>
      <c r="I24" s="224"/>
      <c r="J24" s="224"/>
      <c r="K24" s="16"/>
      <c r="L24" s="29"/>
      <c r="M24" s="108"/>
      <c r="N24" s="108"/>
      <c r="O24" s="108"/>
      <c r="P24" s="108"/>
      <c r="Q24" s="127"/>
      <c r="R24" s="343" t="s">
        <v>27</v>
      </c>
      <c r="S24" s="25"/>
      <c r="T24" s="78">
        <f>S24*8*S23</f>
        <v>0</v>
      </c>
      <c r="U24" s="13"/>
      <c r="V24" s="25"/>
      <c r="W24" s="78">
        <f>V24*8*V23</f>
        <v>0</v>
      </c>
      <c r="X24" s="13"/>
      <c r="Y24" s="25"/>
      <c r="Z24" s="78">
        <f>Y24*8*Y23</f>
        <v>0</v>
      </c>
      <c r="AA24" s="13"/>
      <c r="AB24" s="25"/>
      <c r="AC24" s="78">
        <f>AB24*8*AB23</f>
        <v>0</v>
      </c>
      <c r="AD24" s="13"/>
      <c r="AE24" s="25"/>
      <c r="AF24" s="78">
        <f>AE24*8*AE23</f>
        <v>0</v>
      </c>
      <c r="AG24" s="13"/>
      <c r="AH24" s="25"/>
      <c r="AI24" s="78">
        <f>AH24*8*AH23</f>
        <v>0</v>
      </c>
      <c r="AJ24" s="13"/>
      <c r="AK24" s="25"/>
      <c r="AL24" s="78">
        <f>AK24*8*AK23</f>
        <v>0</v>
      </c>
      <c r="AM24" s="13"/>
      <c r="AN24" s="25"/>
      <c r="AO24" s="78">
        <f>AN24*8*AN23</f>
        <v>0</v>
      </c>
      <c r="AP24" s="13"/>
      <c r="AQ24" s="25"/>
      <c r="AR24" s="78">
        <f>AQ24*8*AQ23</f>
        <v>0</v>
      </c>
      <c r="AS24" s="13"/>
      <c r="AT24" s="25"/>
      <c r="AU24" s="78">
        <f t="shared" ref="AU24" si="47">AT24*8*AT23</f>
        <v>0</v>
      </c>
      <c r="AV24" s="13"/>
      <c r="AW24" s="25"/>
      <c r="AX24" s="78">
        <f t="shared" ref="AX24" si="48">AW24*8*AW23</f>
        <v>0</v>
      </c>
      <c r="AY24" s="13"/>
      <c r="AZ24" s="25"/>
      <c r="BA24" s="78">
        <f t="shared" ref="BA24" si="49">AZ24*8*AZ23</f>
        <v>0</v>
      </c>
      <c r="BB24" s="13"/>
      <c r="BC24" s="344">
        <f>25-(S24+V24+Y24+AB24+AE24+AH24+AK24+AN24+AQ24+AT24+AW24+AZ24)</f>
        <v>25</v>
      </c>
    </row>
    <row r="25" spans="1:56" ht="15" thickBot="1" x14ac:dyDescent="0.35">
      <c r="A25" s="545" t="s">
        <v>63</v>
      </c>
      <c r="B25" s="166" t="s">
        <v>7</v>
      </c>
      <c r="C25" s="167" t="s">
        <v>58</v>
      </c>
      <c r="D25" s="174">
        <v>0</v>
      </c>
      <c r="E25" s="9" t="s">
        <v>195</v>
      </c>
      <c r="F25" s="185" t="s">
        <v>50</v>
      </c>
      <c r="G25" s="10">
        <v>44075</v>
      </c>
      <c r="H25" s="225"/>
      <c r="I25" s="225"/>
      <c r="J25" s="225"/>
      <c r="K25" s="17"/>
      <c r="L25" s="110">
        <v>44197</v>
      </c>
      <c r="M25" s="5">
        <v>44804</v>
      </c>
      <c r="N25" s="109" t="s">
        <v>92</v>
      </c>
      <c r="O25" s="22">
        <v>29340</v>
      </c>
      <c r="P25" s="22">
        <v>8300</v>
      </c>
      <c r="Q25" s="23">
        <f>P25+O25</f>
        <v>37640</v>
      </c>
      <c r="R25" s="39" t="s">
        <v>7</v>
      </c>
      <c r="S25" s="26">
        <v>0.05</v>
      </c>
      <c r="T25" s="214">
        <f>(S$12*S25)-(T$24*S25)</f>
        <v>8.4</v>
      </c>
      <c r="U25" s="21">
        <f>IF(S$11&lt;$M$25,$Q$25,$Q$26)*S25</f>
        <v>1882</v>
      </c>
      <c r="V25" s="26">
        <v>0.05</v>
      </c>
      <c r="W25" s="214">
        <f>(V$12*V25)-(W$24*V25)</f>
        <v>8</v>
      </c>
      <c r="X25" s="21">
        <f>IF(V$11&lt;$M$25,$Q$25,$Q$26)*V25</f>
        <v>1882</v>
      </c>
      <c r="Y25" s="26">
        <v>0.05</v>
      </c>
      <c r="Z25" s="214">
        <f>(Y$12*Y25)-(Z$24*Y25)</f>
        <v>9.2000000000000011</v>
      </c>
      <c r="AA25" s="21">
        <f>IF(Y$11&lt;$M$25,$Q$25,$Q$26)*Y25</f>
        <v>1882</v>
      </c>
      <c r="AB25" s="26">
        <v>0.05</v>
      </c>
      <c r="AC25" s="214">
        <f>(AB$12*AB25)-(AC$24*AB25)</f>
        <v>8.4</v>
      </c>
      <c r="AD25" s="21">
        <f>IF(AB$11&lt;$M$25,$Q$25,$Q$26)*AB25</f>
        <v>1882</v>
      </c>
      <c r="AE25" s="26">
        <v>0.05</v>
      </c>
      <c r="AF25" s="214">
        <f>(AE$12*AE25)-(AF$24*AE25)</f>
        <v>8.8000000000000007</v>
      </c>
      <c r="AG25" s="21">
        <f>IF(AE$11&lt;$M$25,$Q$25,$Q$26)*AE25</f>
        <v>1882</v>
      </c>
      <c r="AH25" s="26">
        <v>0.05</v>
      </c>
      <c r="AI25" s="214">
        <f>(AH$12*AH25)-(AI$24*AH25)</f>
        <v>8.8000000000000007</v>
      </c>
      <c r="AJ25" s="21">
        <f>IF(AH$11&lt;$M$25,$Q$25,$Q$26)*AH25</f>
        <v>1882</v>
      </c>
      <c r="AK25" s="26">
        <v>0.05</v>
      </c>
      <c r="AL25" s="214">
        <f>(AK$12*AK25)-(AL$24*AK25)</f>
        <v>8.4</v>
      </c>
      <c r="AM25" s="21">
        <f>IF(AK$11&lt;$M$25,$Q$25,$Q$26)*AK25</f>
        <v>1882</v>
      </c>
      <c r="AN25" s="26">
        <v>0.05</v>
      </c>
      <c r="AO25" s="214">
        <f>(AN$12*AN25)-(AO$24*AN25)</f>
        <v>9.2000000000000011</v>
      </c>
      <c r="AP25" s="21">
        <f>IF(AN$11&lt;$M$25,$Q$25,$Q$26)*AN25</f>
        <v>1882</v>
      </c>
      <c r="AQ25" s="26">
        <v>0.05</v>
      </c>
      <c r="AR25" s="214">
        <f>(AQ$12*AQ25)-(AR$24*AQ25)</f>
        <v>8.8000000000000007</v>
      </c>
      <c r="AS25" s="21">
        <f>IF(AQ$11&lt;$M$25,$Q$25,$Q$26)*AQ25</f>
        <v>2029</v>
      </c>
      <c r="AT25" s="26">
        <v>0.05</v>
      </c>
      <c r="AU25" s="214">
        <f>(AT$12*AT25)-(AU$24*AT25)</f>
        <v>8.4</v>
      </c>
      <c r="AV25" s="21">
        <f>IF(AT$11&lt;$M$25,$Q$25,$Q$26)*AT25</f>
        <v>2029</v>
      </c>
      <c r="AW25" s="26">
        <v>0.05</v>
      </c>
      <c r="AX25" s="214">
        <f t="shared" ref="AX25" si="50">(AW$12*AW25)-(AX$24*AW25)</f>
        <v>8.8000000000000007</v>
      </c>
      <c r="AY25" s="21">
        <f t="shared" ref="AY25" si="51">IF(AW$11&lt;$M$25,$Q$25,$Q$26)*AW25</f>
        <v>2029</v>
      </c>
      <c r="AZ25" s="26">
        <v>0.05</v>
      </c>
      <c r="BA25" s="214">
        <f t="shared" ref="BA25" si="52">(AZ$12*AZ25)-(BA$24*AZ25)</f>
        <v>8.8000000000000007</v>
      </c>
      <c r="BB25" s="21">
        <f t="shared" ref="BB25" si="53">IF(AZ$11&lt;$M$25,$Q$25,$Q$26)*AZ25</f>
        <v>2029</v>
      </c>
      <c r="BC25" s="285">
        <f>SUM(U25,X25,AA25,AD25,AG25,AJ25,AM25,AP25,AS25,AV25,AY25,BB25)</f>
        <v>23172</v>
      </c>
    </row>
    <row r="26" spans="1:56" ht="15" thickBot="1" x14ac:dyDescent="0.35">
      <c r="A26" s="545"/>
      <c r="B26" s="63" t="s">
        <v>9</v>
      </c>
      <c r="C26" s="158" t="s">
        <v>58</v>
      </c>
      <c r="D26" s="171"/>
      <c r="E26" s="4"/>
      <c r="F26" s="185" t="s">
        <v>50</v>
      </c>
      <c r="G26" s="10">
        <v>44075</v>
      </c>
      <c r="H26" s="222">
        <v>44742</v>
      </c>
      <c r="I26" s="222"/>
      <c r="J26" s="222"/>
      <c r="K26" s="18"/>
      <c r="L26" s="375">
        <v>44805</v>
      </c>
      <c r="M26" s="5">
        <v>44926</v>
      </c>
      <c r="N26" s="107" t="s">
        <v>92</v>
      </c>
      <c r="O26" s="22">
        <f>30666+1614</f>
        <v>32280</v>
      </c>
      <c r="P26" s="22">
        <f>7885+415</f>
        <v>8300</v>
      </c>
      <c r="Q26" s="23">
        <f>P26+O26</f>
        <v>40580</v>
      </c>
      <c r="R26" s="39" t="s">
        <v>9</v>
      </c>
      <c r="S26" s="24">
        <v>0.95</v>
      </c>
      <c r="T26" s="117">
        <f>(S$12*S26)-(T$30*S26)</f>
        <v>159.6</v>
      </c>
      <c r="U26" s="21">
        <f>IF(S$11&lt;$M$25,$Q$25,$Q$26)*S26</f>
        <v>35758</v>
      </c>
      <c r="V26" s="24">
        <v>0.95</v>
      </c>
      <c r="W26" s="117">
        <f>(V$12*V26)-(W$30*V26)</f>
        <v>152</v>
      </c>
      <c r="X26" s="21">
        <f>IF(V$11&lt;$M$25,$Q$25,$Q$26)*V26</f>
        <v>35758</v>
      </c>
      <c r="Y26" s="24">
        <v>0.95</v>
      </c>
      <c r="Z26" s="117">
        <f>(Y$12*Y26)-(Z$30*Y26)</f>
        <v>174.79999999999998</v>
      </c>
      <c r="AA26" s="21">
        <f>IF(Y$11&lt;$M$25,$Q$25,$Q$26)*Y26</f>
        <v>35758</v>
      </c>
      <c r="AB26" s="24">
        <v>0.95</v>
      </c>
      <c r="AC26" s="117">
        <f>(AB$12*AB26)-(AC$30*AB26)</f>
        <v>159.6</v>
      </c>
      <c r="AD26" s="21">
        <f>IF(AB$11&lt;$M$25,$Q$25,$Q$26)*AB26</f>
        <v>35758</v>
      </c>
      <c r="AE26" s="24">
        <v>0.95</v>
      </c>
      <c r="AF26" s="117">
        <f>(AE$12*AE26)-(AF$30*AE26)</f>
        <v>167.2</v>
      </c>
      <c r="AG26" s="21">
        <f>IF(AE$11&lt;$M$25,$Q$25,$Q$26)*AE26</f>
        <v>35758</v>
      </c>
      <c r="AH26" s="24">
        <v>0.95</v>
      </c>
      <c r="AI26" s="117">
        <f>(AH$12*AH26)-(AI$30*AH26)</f>
        <v>167.2</v>
      </c>
      <c r="AJ26" s="21">
        <f>IF(AH$11&lt;$M$25,$Q$25,$Q$26)*AH26</f>
        <v>35758</v>
      </c>
      <c r="AK26" s="467"/>
      <c r="AL26" s="479"/>
      <c r="AM26" s="469"/>
      <c r="AN26" s="467"/>
      <c r="AO26" s="479"/>
      <c r="AP26" s="469"/>
      <c r="AQ26" s="467"/>
      <c r="AR26" s="479"/>
      <c r="AS26" s="469"/>
      <c r="AT26" s="467"/>
      <c r="AU26" s="479"/>
      <c r="AV26" s="469"/>
      <c r="AW26" s="467"/>
      <c r="AX26" s="479"/>
      <c r="AY26" s="469"/>
      <c r="AZ26" s="467"/>
      <c r="BA26" s="479"/>
      <c r="BB26" s="469"/>
      <c r="BC26" s="285">
        <f>SUM(U26,X26,AA26,AD26,AG26,AJ26,AM26,AP26,AS26,AV26,AY26,BB26)</f>
        <v>214548</v>
      </c>
    </row>
    <row r="27" spans="1:56" ht="15" thickBot="1" x14ac:dyDescent="0.35">
      <c r="A27" s="545"/>
      <c r="B27" s="63" t="s">
        <v>30</v>
      </c>
      <c r="C27" s="158"/>
      <c r="D27" s="171"/>
      <c r="E27" s="4"/>
      <c r="F27" s="185"/>
      <c r="G27" s="10">
        <v>44743</v>
      </c>
      <c r="H27" s="222">
        <v>44834</v>
      </c>
      <c r="I27" s="222"/>
      <c r="J27" s="222"/>
      <c r="K27" s="18"/>
      <c r="L27" s="20"/>
      <c r="M27" s="22"/>
      <c r="N27" s="107"/>
      <c r="O27" s="22"/>
      <c r="P27" s="22"/>
      <c r="Q27" s="23"/>
      <c r="R27" s="39" t="s">
        <v>30</v>
      </c>
      <c r="S27" s="467"/>
      <c r="T27" s="479"/>
      <c r="U27" s="469"/>
      <c r="V27" s="467"/>
      <c r="W27" s="479"/>
      <c r="X27" s="469"/>
      <c r="Y27" s="467"/>
      <c r="Z27" s="479"/>
      <c r="AA27" s="469"/>
      <c r="AB27" s="467"/>
      <c r="AC27" s="479"/>
      <c r="AD27" s="469"/>
      <c r="AE27" s="467"/>
      <c r="AF27" s="479"/>
      <c r="AG27" s="469"/>
      <c r="AH27" s="467"/>
      <c r="AI27" s="479"/>
      <c r="AJ27" s="469"/>
      <c r="AK27" s="450">
        <v>0.95</v>
      </c>
      <c r="AL27" s="117">
        <f>(AK$12*AK27)-(AL$30*AK27)</f>
        <v>159.6</v>
      </c>
      <c r="AM27" s="21">
        <f>IF(AK$11&lt;$M$25,$Q$25,$Q$26)*AK27</f>
        <v>35758</v>
      </c>
      <c r="AN27" s="24">
        <v>0.95</v>
      </c>
      <c r="AO27" s="117">
        <f>(AN$12*AN27)-(AO$30*AN27)</f>
        <v>174.79999999999998</v>
      </c>
      <c r="AP27" s="21">
        <f>IF(AN$11&lt;$M$25,$Q$25,$Q$26)*AN27</f>
        <v>35758</v>
      </c>
      <c r="AQ27" s="24">
        <v>0.95</v>
      </c>
      <c r="AR27" s="117">
        <f>(AQ$12*AQ27)-(AR$30*AQ27)</f>
        <v>167.2</v>
      </c>
      <c r="AS27" s="21">
        <f>IF(AQ$11&lt;$M$25,$Q$25,$Q$26)*AQ27</f>
        <v>38551</v>
      </c>
      <c r="AT27" s="467"/>
      <c r="AU27" s="479"/>
      <c r="AV27" s="469"/>
      <c r="AW27" s="467"/>
      <c r="AX27" s="479"/>
      <c r="AY27" s="469"/>
      <c r="AZ27" s="467"/>
      <c r="BA27" s="479"/>
      <c r="BB27" s="469"/>
      <c r="BC27" s="285">
        <f>SUM(U27,X27,AA27,AD27,AG27,AJ27,AM27,AP27,AS27,AV27,AY27,BB27)</f>
        <v>110067</v>
      </c>
    </row>
    <row r="28" spans="1:56" ht="15" thickBot="1" x14ac:dyDescent="0.35">
      <c r="A28" s="545"/>
      <c r="B28" s="63" t="s">
        <v>155</v>
      </c>
      <c r="C28" s="158" t="s">
        <v>58</v>
      </c>
      <c r="D28" s="171"/>
      <c r="E28" s="4"/>
      <c r="F28" s="185" t="s">
        <v>50</v>
      </c>
      <c r="G28" s="10">
        <v>44835</v>
      </c>
      <c r="H28" s="222"/>
      <c r="I28" s="222"/>
      <c r="J28" s="222"/>
      <c r="K28" s="18"/>
      <c r="L28" s="20"/>
      <c r="M28" s="22"/>
      <c r="N28" s="107"/>
      <c r="O28" s="22"/>
      <c r="P28" s="22"/>
      <c r="Q28" s="23"/>
      <c r="R28" s="39" t="s">
        <v>155</v>
      </c>
      <c r="S28" s="467"/>
      <c r="T28" s="479"/>
      <c r="U28" s="469"/>
      <c r="V28" s="467"/>
      <c r="W28" s="479"/>
      <c r="X28" s="469"/>
      <c r="Y28" s="467"/>
      <c r="Z28" s="479"/>
      <c r="AA28" s="469"/>
      <c r="AB28" s="467"/>
      <c r="AC28" s="479"/>
      <c r="AD28" s="469"/>
      <c r="AE28" s="467"/>
      <c r="AF28" s="479"/>
      <c r="AG28" s="469"/>
      <c r="AH28" s="467"/>
      <c r="AI28" s="479"/>
      <c r="AJ28" s="469"/>
      <c r="AK28" s="467"/>
      <c r="AL28" s="479"/>
      <c r="AM28" s="469"/>
      <c r="AN28" s="467"/>
      <c r="AO28" s="479"/>
      <c r="AP28" s="469"/>
      <c r="AQ28" s="467"/>
      <c r="AR28" s="479"/>
      <c r="AS28" s="469"/>
      <c r="AT28" s="450">
        <v>0.95</v>
      </c>
      <c r="AU28" s="117">
        <f>(AT$12*AT28)-(AU$30*AT28)</f>
        <v>159.6</v>
      </c>
      <c r="AV28" s="21">
        <f>IF(AT$11&lt;$M$25,$Q$25,$Q$26)*AT28</f>
        <v>38551</v>
      </c>
      <c r="AW28" s="24">
        <v>0.95</v>
      </c>
      <c r="AX28" s="117">
        <f t="shared" ref="AX28" si="54">(AW$12*AW28)-(AX$30*AW28)</f>
        <v>167.2</v>
      </c>
      <c r="AY28" s="21">
        <f t="shared" ref="AY28" si="55">IF(AW$11&lt;$M$25,$Q$25,$Q$26)*AW28</f>
        <v>38551</v>
      </c>
      <c r="AZ28" s="24">
        <v>0.95</v>
      </c>
      <c r="BA28" s="117">
        <f t="shared" ref="BA28" si="56">(AZ$12*AZ28)-(BA$30*AZ28)</f>
        <v>167.2</v>
      </c>
      <c r="BB28" s="21">
        <f t="shared" ref="BB28" si="57">IF(AZ$11&lt;$M$25,$Q$25,$Q$26)*AZ28</f>
        <v>38551</v>
      </c>
      <c r="BC28" s="285">
        <f>SUM(U28,X28,AA28,AD28,AG28,AJ28,AM28,AP28,AS28,AV28,AY28,BB28)</f>
        <v>115653</v>
      </c>
    </row>
    <row r="29" spans="1:56" ht="15" thickBot="1" x14ac:dyDescent="0.35">
      <c r="A29" s="545"/>
      <c r="B29" s="63" t="s">
        <v>36</v>
      </c>
      <c r="C29" s="156"/>
      <c r="D29" s="171"/>
      <c r="E29" s="4"/>
      <c r="F29" s="182"/>
      <c r="G29" s="5"/>
      <c r="H29" s="222"/>
      <c r="I29" s="222"/>
      <c r="J29" s="222"/>
      <c r="K29" s="18"/>
      <c r="L29" s="20"/>
      <c r="M29" s="22"/>
      <c r="N29" s="107"/>
      <c r="O29" s="22"/>
      <c r="P29" s="22"/>
      <c r="Q29" s="23"/>
      <c r="R29" s="39" t="s">
        <v>36</v>
      </c>
      <c r="S29" s="27">
        <f t="shared" ref="S29:AJ29" si="58">SUM(S25:S26)</f>
        <v>1</v>
      </c>
      <c r="T29" s="77">
        <f t="shared" si="58"/>
        <v>168</v>
      </c>
      <c r="U29" s="28">
        <f t="shared" si="58"/>
        <v>37640</v>
      </c>
      <c r="V29" s="27">
        <f t="shared" si="58"/>
        <v>1</v>
      </c>
      <c r="W29" s="77">
        <f t="shared" si="58"/>
        <v>160</v>
      </c>
      <c r="X29" s="28">
        <f t="shared" si="58"/>
        <v>37640</v>
      </c>
      <c r="Y29" s="27">
        <f t="shared" si="58"/>
        <v>1</v>
      </c>
      <c r="Z29" s="77">
        <f t="shared" si="58"/>
        <v>183.99999999999997</v>
      </c>
      <c r="AA29" s="28">
        <f t="shared" si="58"/>
        <v>37640</v>
      </c>
      <c r="AB29" s="27">
        <f t="shared" si="58"/>
        <v>1</v>
      </c>
      <c r="AC29" s="77">
        <f t="shared" si="58"/>
        <v>168</v>
      </c>
      <c r="AD29" s="28">
        <f t="shared" si="58"/>
        <v>37640</v>
      </c>
      <c r="AE29" s="27">
        <f t="shared" si="58"/>
        <v>1</v>
      </c>
      <c r="AF29" s="77">
        <f t="shared" si="58"/>
        <v>176</v>
      </c>
      <c r="AG29" s="28">
        <f t="shared" si="58"/>
        <v>37640</v>
      </c>
      <c r="AH29" s="27">
        <f t="shared" si="58"/>
        <v>1</v>
      </c>
      <c r="AI29" s="77">
        <f t="shared" si="58"/>
        <v>176</v>
      </c>
      <c r="AJ29" s="28">
        <f t="shared" si="58"/>
        <v>37640</v>
      </c>
      <c r="AK29" s="27">
        <f t="shared" ref="AK29:AV29" si="59">SUM(AK25:AK28)</f>
        <v>1</v>
      </c>
      <c r="AL29" s="77">
        <f t="shared" si="59"/>
        <v>168</v>
      </c>
      <c r="AM29" s="28">
        <f t="shared" si="59"/>
        <v>37640</v>
      </c>
      <c r="AN29" s="27">
        <f t="shared" si="59"/>
        <v>1</v>
      </c>
      <c r="AO29" s="77">
        <f t="shared" si="59"/>
        <v>183.99999999999997</v>
      </c>
      <c r="AP29" s="28">
        <f t="shared" si="59"/>
        <v>37640</v>
      </c>
      <c r="AQ29" s="27">
        <f t="shared" si="59"/>
        <v>1</v>
      </c>
      <c r="AR29" s="77">
        <f t="shared" si="59"/>
        <v>176</v>
      </c>
      <c r="AS29" s="28">
        <f t="shared" si="59"/>
        <v>40580</v>
      </c>
      <c r="AT29" s="27">
        <f t="shared" si="59"/>
        <v>1</v>
      </c>
      <c r="AU29" s="77">
        <f t="shared" si="59"/>
        <v>168</v>
      </c>
      <c r="AV29" s="28">
        <f t="shared" si="59"/>
        <v>40580</v>
      </c>
      <c r="AW29" s="27">
        <f t="shared" ref="AW29:BB29" si="60">SUM(AW25:AW28)</f>
        <v>1</v>
      </c>
      <c r="AX29" s="77">
        <f t="shared" si="60"/>
        <v>176</v>
      </c>
      <c r="AY29" s="28">
        <f t="shared" si="60"/>
        <v>40580</v>
      </c>
      <c r="AZ29" s="27">
        <f t="shared" si="60"/>
        <v>1</v>
      </c>
      <c r="BA29" s="77">
        <f t="shared" si="60"/>
        <v>176</v>
      </c>
      <c r="BB29" s="28">
        <f t="shared" si="60"/>
        <v>40580</v>
      </c>
      <c r="BC29" s="285">
        <f>SUM(U29,X29,AA29,AD29,AG29,AJ29,AM29,AP29,AS29,AV29,AY29,BB29)</f>
        <v>463440</v>
      </c>
    </row>
    <row r="30" spans="1:56" ht="15" thickBot="1" x14ac:dyDescent="0.35">
      <c r="A30" s="546"/>
      <c r="B30" s="340" t="s">
        <v>27</v>
      </c>
      <c r="C30" s="156"/>
      <c r="D30" s="172"/>
      <c r="E30" s="69"/>
      <c r="F30" s="183"/>
      <c r="G30" s="84"/>
      <c r="H30" s="223"/>
      <c r="I30" s="223"/>
      <c r="J30" s="223"/>
      <c r="K30" s="85"/>
      <c r="L30" s="29"/>
      <c r="M30" s="108"/>
      <c r="N30" s="111"/>
      <c r="O30" s="108"/>
      <c r="P30" s="108"/>
      <c r="Q30" s="99"/>
      <c r="R30" s="342" t="s">
        <v>27</v>
      </c>
      <c r="S30" s="25"/>
      <c r="T30" s="78">
        <f>S30*8*S29</f>
        <v>0</v>
      </c>
      <c r="U30" s="13"/>
      <c r="V30" s="25"/>
      <c r="W30" s="78">
        <f>V30*8*V29</f>
        <v>0</v>
      </c>
      <c r="X30" s="13"/>
      <c r="Y30" s="25"/>
      <c r="Z30" s="78">
        <f>Y30*8*Y29</f>
        <v>0</v>
      </c>
      <c r="AA30" s="13"/>
      <c r="AB30" s="25"/>
      <c r="AC30" s="78">
        <f>AB30*8*AB29</f>
        <v>0</v>
      </c>
      <c r="AD30" s="13"/>
      <c r="AE30" s="25"/>
      <c r="AF30" s="78">
        <f>AE30*8*AE29</f>
        <v>0</v>
      </c>
      <c r="AG30" s="13"/>
      <c r="AH30" s="25"/>
      <c r="AI30" s="78">
        <f>AH30*8*AH29</f>
        <v>0</v>
      </c>
      <c r="AJ30" s="13"/>
      <c r="AK30" s="25"/>
      <c r="AL30" s="78">
        <f>AK30*8*AK29</f>
        <v>0</v>
      </c>
      <c r="AM30" s="13"/>
      <c r="AN30" s="25"/>
      <c r="AO30" s="78">
        <f>AN30*8*AN29</f>
        <v>0</v>
      </c>
      <c r="AP30" s="13"/>
      <c r="AQ30" s="25"/>
      <c r="AR30" s="78">
        <f>AQ30*8*AQ29</f>
        <v>0</v>
      </c>
      <c r="AS30" s="13"/>
      <c r="AT30" s="25"/>
      <c r="AU30" s="78">
        <f>AT30*8*AT29</f>
        <v>0</v>
      </c>
      <c r="AV30" s="13"/>
      <c r="AW30" s="25"/>
      <c r="AX30" s="78">
        <f t="shared" ref="AX30" si="61">AW30*8*AW29</f>
        <v>0</v>
      </c>
      <c r="AY30" s="13"/>
      <c r="AZ30" s="25"/>
      <c r="BA30" s="78">
        <f t="shared" ref="BA30" si="62">AZ30*8*AZ29</f>
        <v>0</v>
      </c>
      <c r="BB30" s="13"/>
      <c r="BC30" s="344">
        <f>25-(S30+V30+Y30+AB30+AE30+AH30+AK30+AN30+AQ30+AT30+AW30+AZ30)</f>
        <v>25</v>
      </c>
    </row>
    <row r="31" spans="1:56" ht="15" thickBot="1" x14ac:dyDescent="0.35">
      <c r="A31" s="574" t="s">
        <v>193</v>
      </c>
      <c r="B31" s="62" t="s">
        <v>7</v>
      </c>
      <c r="C31" s="509" t="s">
        <v>58</v>
      </c>
      <c r="D31" s="170">
        <v>0</v>
      </c>
      <c r="E31" s="131" t="s">
        <v>3</v>
      </c>
      <c r="F31" s="181" t="s">
        <v>50</v>
      </c>
      <c r="G31" s="132">
        <v>44866</v>
      </c>
      <c r="H31" s="132"/>
      <c r="I31" s="132"/>
      <c r="J31" s="132"/>
      <c r="K31" s="130" t="s">
        <v>93</v>
      </c>
      <c r="L31" s="512">
        <v>44866</v>
      </c>
      <c r="M31" s="5">
        <v>44926</v>
      </c>
      <c r="N31" s="122" t="s">
        <v>194</v>
      </c>
      <c r="O31" s="114"/>
      <c r="P31" s="114"/>
      <c r="Q31" s="103">
        <v>28000</v>
      </c>
      <c r="R31" s="62" t="s">
        <v>7</v>
      </c>
      <c r="S31" s="516"/>
      <c r="T31" s="517"/>
      <c r="U31" s="518"/>
      <c r="V31" s="516"/>
      <c r="W31" s="517"/>
      <c r="X31" s="518"/>
      <c r="Y31" s="516"/>
      <c r="Z31" s="517"/>
      <c r="AA31" s="518"/>
      <c r="AB31" s="516"/>
      <c r="AC31" s="517"/>
      <c r="AD31" s="518"/>
      <c r="AE31" s="516"/>
      <c r="AF31" s="517"/>
      <c r="AG31" s="518"/>
      <c r="AH31" s="516"/>
      <c r="AI31" s="517"/>
      <c r="AJ31" s="518"/>
      <c r="AK31" s="516"/>
      <c r="AL31" s="517"/>
      <c r="AM31" s="518"/>
      <c r="AN31" s="516"/>
      <c r="AO31" s="517"/>
      <c r="AP31" s="518"/>
      <c r="AQ31" s="516"/>
      <c r="AR31" s="517"/>
      <c r="AS31" s="518"/>
      <c r="AT31" s="516"/>
      <c r="AU31" s="517"/>
      <c r="AV31" s="518"/>
      <c r="AW31" s="26">
        <v>0.05</v>
      </c>
      <c r="AX31" s="214">
        <f t="shared" ref="AX31:AX32" si="63">(AW$12*AW31)-(AX$24*AW31)</f>
        <v>8.8000000000000007</v>
      </c>
      <c r="AY31" s="460">
        <f>(1/AW$33)*IF(AW$11&lt;$M$31,$Q$31,$Q$32)*AW31</f>
        <v>1400</v>
      </c>
      <c r="AZ31" s="26">
        <v>0.05</v>
      </c>
      <c r="BA31" s="214">
        <f t="shared" ref="BA31:BA32" si="64">(AZ$12*AZ31)-(BA$24*AZ31)</f>
        <v>8.8000000000000007</v>
      </c>
      <c r="BB31" s="460">
        <f>(1/AZ$33)*IF(AZ$11&lt;$M$31,$Q$31,$Q$32)*AZ31</f>
        <v>1400</v>
      </c>
      <c r="BC31" s="285">
        <f>SUM(U31,X31,AA31,AD31,AG31,AJ31,AM31,AP31,AS31,AV31,AY31,BB31)</f>
        <v>2800</v>
      </c>
    </row>
    <row r="32" spans="1:56" ht="15" thickBot="1" x14ac:dyDescent="0.35">
      <c r="A32" s="572"/>
      <c r="B32" s="63" t="s">
        <v>29</v>
      </c>
      <c r="C32" s="507" t="s">
        <v>58</v>
      </c>
      <c r="D32" s="171"/>
      <c r="E32" s="4"/>
      <c r="F32" s="182" t="s">
        <v>50</v>
      </c>
      <c r="G32" s="5">
        <v>44866</v>
      </c>
      <c r="H32" s="168">
        <v>44926</v>
      </c>
      <c r="I32" s="5"/>
      <c r="J32" s="5"/>
      <c r="K32" s="21"/>
      <c r="L32" s="508"/>
      <c r="M32" s="114"/>
      <c r="N32" s="122"/>
      <c r="O32" s="114"/>
      <c r="P32" s="114"/>
      <c r="Q32" s="103"/>
      <c r="R32" s="63" t="s">
        <v>29</v>
      </c>
      <c r="S32" s="467"/>
      <c r="T32" s="479"/>
      <c r="U32" s="484"/>
      <c r="V32" s="467"/>
      <c r="W32" s="479"/>
      <c r="X32" s="484"/>
      <c r="Y32" s="467"/>
      <c r="Z32" s="479"/>
      <c r="AA32" s="484"/>
      <c r="AB32" s="467"/>
      <c r="AC32" s="479"/>
      <c r="AD32" s="484"/>
      <c r="AE32" s="467"/>
      <c r="AF32" s="479"/>
      <c r="AG32" s="484"/>
      <c r="AH32" s="467"/>
      <c r="AI32" s="479"/>
      <c r="AJ32" s="484"/>
      <c r="AK32" s="467"/>
      <c r="AL32" s="479"/>
      <c r="AM32" s="484"/>
      <c r="AN32" s="467"/>
      <c r="AO32" s="479"/>
      <c r="AP32" s="484"/>
      <c r="AQ32" s="467"/>
      <c r="AR32" s="479"/>
      <c r="AS32" s="484"/>
      <c r="AT32" s="467"/>
      <c r="AU32" s="479"/>
      <c r="AV32" s="484"/>
      <c r="AW32" s="24">
        <v>0.95</v>
      </c>
      <c r="AX32" s="117">
        <f t="shared" si="63"/>
        <v>167.2</v>
      </c>
      <c r="AY32" s="460">
        <f>(1/AW$33)*IF(AW$11&lt;$M$31,$Q$31,$Q$32)*AW32</f>
        <v>26600</v>
      </c>
      <c r="AZ32" s="480">
        <v>0.95</v>
      </c>
      <c r="BA32" s="490">
        <f t="shared" si="64"/>
        <v>167.2</v>
      </c>
      <c r="BB32" s="523">
        <f>(1/AZ$33)*IF(AZ$11&lt;$M$31,$Q$31,$Q$32)*AZ32</f>
        <v>26600</v>
      </c>
      <c r="BC32" s="285">
        <f>SUM(U32,X32,AA32,AD32,AG32,AJ32,AM32,AP32,AS32,AV32,AY32,BB32)</f>
        <v>53200</v>
      </c>
      <c r="BD32" t="s">
        <v>196</v>
      </c>
    </row>
    <row r="33" spans="1:56" ht="15" thickBot="1" x14ac:dyDescent="0.35">
      <c r="A33" s="572"/>
      <c r="B33" s="63" t="s">
        <v>36</v>
      </c>
      <c r="C33" s="510"/>
      <c r="D33" s="171"/>
      <c r="E33" s="4"/>
      <c r="F33" s="182"/>
      <c r="G33" s="5"/>
      <c r="H33" s="5"/>
      <c r="I33" s="5"/>
      <c r="J33" s="5"/>
      <c r="K33" s="21"/>
      <c r="L33" s="508"/>
      <c r="M33" s="114"/>
      <c r="N33" s="122"/>
      <c r="O33" s="114"/>
      <c r="P33" s="114"/>
      <c r="Q33" s="103"/>
      <c r="R33" s="63" t="s">
        <v>36</v>
      </c>
      <c r="S33" s="471"/>
      <c r="T33" s="472"/>
      <c r="U33" s="473"/>
      <c r="V33" s="471"/>
      <c r="W33" s="472"/>
      <c r="X33" s="473"/>
      <c r="Y33" s="471"/>
      <c r="Z33" s="472"/>
      <c r="AA33" s="473"/>
      <c r="AB33" s="471"/>
      <c r="AC33" s="472"/>
      <c r="AD33" s="473"/>
      <c r="AE33" s="471"/>
      <c r="AF33" s="472"/>
      <c r="AG33" s="473"/>
      <c r="AH33" s="471"/>
      <c r="AI33" s="472"/>
      <c r="AJ33" s="473"/>
      <c r="AK33" s="471"/>
      <c r="AL33" s="472"/>
      <c r="AM33" s="473"/>
      <c r="AN33" s="471"/>
      <c r="AO33" s="472"/>
      <c r="AP33" s="473"/>
      <c r="AQ33" s="471"/>
      <c r="AR33" s="472"/>
      <c r="AS33" s="473"/>
      <c r="AT33" s="471"/>
      <c r="AU33" s="472"/>
      <c r="AV33" s="473"/>
      <c r="AW33" s="27">
        <f t="shared" ref="AW33:AY33" si="65">SUM(AW31:AW32)</f>
        <v>1</v>
      </c>
      <c r="AX33" s="77">
        <f t="shared" si="65"/>
        <v>176</v>
      </c>
      <c r="AY33" s="209">
        <f t="shared" si="65"/>
        <v>28000</v>
      </c>
      <c r="AZ33" s="27">
        <f t="shared" ref="AZ33:BB33" si="66">SUM(AZ31:AZ32)</f>
        <v>1</v>
      </c>
      <c r="BA33" s="77">
        <f t="shared" si="66"/>
        <v>176</v>
      </c>
      <c r="BB33" s="209">
        <f t="shared" si="66"/>
        <v>28000</v>
      </c>
      <c r="BC33" s="285">
        <f>SUM(U33,X33,AA33,AD33,AG33,AJ33,AM33,AP33,AS33,AV33,AY33,BB33)</f>
        <v>56000</v>
      </c>
    </row>
    <row r="34" spans="1:56" ht="15" thickBot="1" x14ac:dyDescent="0.35">
      <c r="A34" s="573"/>
      <c r="B34" s="340" t="s">
        <v>27</v>
      </c>
      <c r="C34" s="511"/>
      <c r="D34" s="173"/>
      <c r="E34" s="6"/>
      <c r="F34" s="184"/>
      <c r="G34" s="8"/>
      <c r="H34" s="8"/>
      <c r="I34" s="8"/>
      <c r="J34" s="8"/>
      <c r="K34" s="30"/>
      <c r="L34" s="508"/>
      <c r="M34" s="114"/>
      <c r="N34" s="122"/>
      <c r="O34" s="114"/>
      <c r="P34" s="114"/>
      <c r="Q34" s="103"/>
      <c r="R34" s="340" t="s">
        <v>27</v>
      </c>
      <c r="S34" s="513"/>
      <c r="T34" s="514"/>
      <c r="U34" s="515"/>
      <c r="V34" s="513"/>
      <c r="W34" s="514"/>
      <c r="X34" s="515"/>
      <c r="Y34" s="513"/>
      <c r="Z34" s="514"/>
      <c r="AA34" s="515"/>
      <c r="AB34" s="513"/>
      <c r="AC34" s="514"/>
      <c r="AD34" s="515"/>
      <c r="AE34" s="513"/>
      <c r="AF34" s="514"/>
      <c r="AG34" s="515"/>
      <c r="AH34" s="513"/>
      <c r="AI34" s="514"/>
      <c r="AJ34" s="515"/>
      <c r="AK34" s="513"/>
      <c r="AL34" s="514"/>
      <c r="AM34" s="515"/>
      <c r="AN34" s="513"/>
      <c r="AO34" s="514"/>
      <c r="AP34" s="515"/>
      <c r="AQ34" s="513"/>
      <c r="AR34" s="514"/>
      <c r="AS34" s="515"/>
      <c r="AT34" s="513"/>
      <c r="AU34" s="514"/>
      <c r="AV34" s="515"/>
      <c r="AW34" s="82"/>
      <c r="AX34" s="80">
        <f t="shared" ref="AX34" si="67">AW34*8*AW33</f>
        <v>0</v>
      </c>
      <c r="AY34" s="83"/>
      <c r="AZ34" s="82"/>
      <c r="BA34" s="80">
        <f t="shared" ref="BA34" si="68">AZ34*8*AZ33</f>
        <v>0</v>
      </c>
      <c r="BB34" s="83"/>
      <c r="BC34" s="344">
        <f>25-(S34+V34+Y34+AB34+AE34+AH34+AK34+AN34+AQ34+AT34+AW34+AZ34)</f>
        <v>25</v>
      </c>
    </row>
    <row r="35" spans="1:56" ht="15" thickBot="1" x14ac:dyDescent="0.35">
      <c r="A35" s="574" t="s">
        <v>64</v>
      </c>
      <c r="B35" s="63" t="s">
        <v>7</v>
      </c>
      <c r="C35" s="167" t="s">
        <v>58</v>
      </c>
      <c r="D35" s="174">
        <v>0.4</v>
      </c>
      <c r="E35" s="9" t="s">
        <v>2</v>
      </c>
      <c r="F35" s="186" t="s">
        <v>50</v>
      </c>
      <c r="G35" s="10">
        <v>42522</v>
      </c>
      <c r="H35" s="225"/>
      <c r="I35" s="225"/>
      <c r="J35" s="225"/>
      <c r="K35" s="17"/>
      <c r="L35" s="133">
        <v>43952</v>
      </c>
      <c r="M35" s="132">
        <v>44804</v>
      </c>
      <c r="N35" s="134" t="s">
        <v>48</v>
      </c>
      <c r="O35" s="15">
        <f>5900+1475+14750</f>
        <v>22125</v>
      </c>
      <c r="P35" s="15">
        <f>1710+428+4275</f>
        <v>6413</v>
      </c>
      <c r="Q35" s="135">
        <f>P35+O35</f>
        <v>28538</v>
      </c>
      <c r="R35" s="62" t="s">
        <v>7</v>
      </c>
      <c r="S35" s="26">
        <v>0.05</v>
      </c>
      <c r="T35" s="214">
        <f>(S$12*S35)-(T$24*S35)</f>
        <v>8.4</v>
      </c>
      <c r="U35" s="460">
        <f>(1/S$37)*IF(S$11&lt;$M$35,$Q$35,#REF!)*S35</f>
        <v>1902.5333333333333</v>
      </c>
      <c r="V35" s="26">
        <v>0.05</v>
      </c>
      <c r="W35" s="214">
        <f>(V$12*V35)-(W$24*V35)</f>
        <v>8</v>
      </c>
      <c r="X35" s="460">
        <f>(1/V$37)*IF(V$11&lt;$M$35,$Q$35,#REF!)*V35</f>
        <v>1902.5333333333333</v>
      </c>
      <c r="Y35" s="26">
        <v>0.05</v>
      </c>
      <c r="Z35" s="214">
        <f>(Y$12*Y35)-(Z$24*Y35)</f>
        <v>9.2000000000000011</v>
      </c>
      <c r="AA35" s="460">
        <f>(1/Y$37)*IF(Y$11&lt;$M$35,$Q$35,#REF!)*Y35</f>
        <v>1902.5333333333333</v>
      </c>
      <c r="AB35" s="26">
        <v>0.05</v>
      </c>
      <c r="AC35" s="214">
        <f>(AB$12*AB35)-(AC$24*AB35)</f>
        <v>8.4</v>
      </c>
      <c r="AD35" s="460">
        <f>(1/AB$37)*IF(AB$11&lt;$M$35,$Q$35,#REF!)*AB35</f>
        <v>1902.5333333333333</v>
      </c>
      <c r="AE35" s="26">
        <v>0.05</v>
      </c>
      <c r="AF35" s="214">
        <f>(AE$12*AE35)-(AF$24*AE35)</f>
        <v>8.8000000000000007</v>
      </c>
      <c r="AG35" s="460">
        <f>(1/AE$37)*IF(AE$11&lt;$M$35,$Q$35,#REF!)*AE35</f>
        <v>1902.5333333333333</v>
      </c>
      <c r="AH35" s="26">
        <v>0.05</v>
      </c>
      <c r="AI35" s="214">
        <f>(AH$12*AH35)-(AI$24*AH35)</f>
        <v>8.8000000000000007</v>
      </c>
      <c r="AJ35" s="460">
        <f>(1/AH$37)*IF(AH$11&lt;$M$35,$Q$35,#REF!)*AH35</f>
        <v>1902.5333333333333</v>
      </c>
      <c r="AK35" s="26">
        <v>0.05</v>
      </c>
      <c r="AL35" s="214">
        <f>(AK$12*AK35)-(AL$24*AK35)</f>
        <v>8.4</v>
      </c>
      <c r="AM35" s="460">
        <f>(1/AK$37)*IF(AK$11&lt;$M$35,$Q$35,#REF!)*AK35</f>
        <v>1902.5333333333333</v>
      </c>
      <c r="AN35" s="26">
        <v>0.05</v>
      </c>
      <c r="AO35" s="214">
        <f>(AN$12*AN35)-(AO$24*AN35)</f>
        <v>9.2000000000000011</v>
      </c>
      <c r="AP35" s="460">
        <f>(1/AN$37)*IF(AN$11&lt;$M$35,$Q$35,#REF!)*AN35</f>
        <v>1902.5333333333333</v>
      </c>
      <c r="AQ35" s="26">
        <v>0.05</v>
      </c>
      <c r="AR35" s="214">
        <f>(AQ$12*AQ35)-(AR$24*AQ35)</f>
        <v>8.8000000000000007</v>
      </c>
      <c r="AS35" s="460">
        <f>(1/AQ$37)*IF(AQ$11&lt;$M$35,$Q$35,$Q$36)*AQ35</f>
        <v>2050.0666666666666</v>
      </c>
      <c r="AT35" s="26">
        <v>0.05</v>
      </c>
      <c r="AU35" s="214">
        <f t="shared" ref="AU35" si="69">(AT$12*AT35)-(AU$24*AT35)</f>
        <v>8.4</v>
      </c>
      <c r="AV35" s="460">
        <v>2109</v>
      </c>
      <c r="AW35" s="24">
        <v>0.05</v>
      </c>
      <c r="AX35" s="117">
        <f t="shared" ref="AX35" si="70">(AW$12*AW35)-(AX$24*AW35)</f>
        <v>8.8000000000000007</v>
      </c>
      <c r="AY35" s="456">
        <v>2109</v>
      </c>
      <c r="AZ35" s="24">
        <v>0.05</v>
      </c>
      <c r="BA35" s="117">
        <f t="shared" ref="BA35" si="71">(AZ$12*AZ35)-(BA$24*AZ35)</f>
        <v>8.8000000000000007</v>
      </c>
      <c r="BB35" s="456">
        <v>2109</v>
      </c>
      <c r="BC35" s="285">
        <f>SUM(U35,X35,AA35,AD35,AG35,AJ35,AM35,AP35,AS35,AV35,AY35,BB35)</f>
        <v>23597.333333333332</v>
      </c>
    </row>
    <row r="36" spans="1:56" ht="15" thickBot="1" x14ac:dyDescent="0.35">
      <c r="A36" s="572"/>
      <c r="B36" s="63" t="s">
        <v>29</v>
      </c>
      <c r="C36" s="158" t="s">
        <v>58</v>
      </c>
      <c r="D36" s="171"/>
      <c r="E36" s="4"/>
      <c r="F36" s="186" t="s">
        <v>50</v>
      </c>
      <c r="G36" s="5">
        <v>43952</v>
      </c>
      <c r="H36" s="168">
        <v>44926</v>
      </c>
      <c r="I36" s="5"/>
      <c r="J36" s="5"/>
      <c r="K36" s="18"/>
      <c r="L36" s="375">
        <v>44805</v>
      </c>
      <c r="M36" s="5">
        <v>44926</v>
      </c>
      <c r="N36" s="109" t="s">
        <v>48</v>
      </c>
      <c r="O36" s="98">
        <f>1623+22715</f>
        <v>24338</v>
      </c>
      <c r="P36" s="98">
        <f>428+5985</f>
        <v>6413</v>
      </c>
      <c r="Q36" s="23">
        <f>P36+O36</f>
        <v>30751</v>
      </c>
      <c r="R36" s="63" t="s">
        <v>29</v>
      </c>
      <c r="S36" s="450">
        <v>0.7</v>
      </c>
      <c r="T36" s="117">
        <f>(S$12*S36)-(T$24*S36)</f>
        <v>117.6</v>
      </c>
      <c r="U36" s="456">
        <f>(1/S$37)*IF(S$11&lt;$M$35,$Q$35,#REF!)*S36</f>
        <v>26635.466666666664</v>
      </c>
      <c r="V36" s="24">
        <v>0.7</v>
      </c>
      <c r="W36" s="117">
        <f>(V$12*V36)-(W$24*V36)</f>
        <v>112</v>
      </c>
      <c r="X36" s="456">
        <f>(1/V$37)*IF(V$11&lt;$M$35,$Q$35,#REF!)*V36</f>
        <v>26635.466666666664</v>
      </c>
      <c r="Y36" s="24">
        <v>0.7</v>
      </c>
      <c r="Z36" s="117">
        <f>(Y$12*Y36)-(Z$24*Y36)</f>
        <v>128.79999999999998</v>
      </c>
      <c r="AA36" s="456">
        <f>(1/Y$37)*IF(Y$11&lt;$M$35,$Q$35,#REF!)*Y36</f>
        <v>26635.466666666664</v>
      </c>
      <c r="AB36" s="24">
        <v>0.7</v>
      </c>
      <c r="AC36" s="117">
        <f>(AB$12*AB36)-(AC$24*AB36)</f>
        <v>117.6</v>
      </c>
      <c r="AD36" s="456">
        <f>(1/AB$37)*IF(AB$11&lt;$M$35,$Q$35,#REF!)*AB36</f>
        <v>26635.466666666664</v>
      </c>
      <c r="AE36" s="24">
        <v>0.7</v>
      </c>
      <c r="AF36" s="117">
        <f>(AE$12*AE36)-(AF$24*AE36)</f>
        <v>123.19999999999999</v>
      </c>
      <c r="AG36" s="456">
        <f>(1/AE$37)*IF(AE$11&lt;$M$35,$Q$35,#REF!)*AE36</f>
        <v>26635.466666666664</v>
      </c>
      <c r="AH36" s="24">
        <v>0.7</v>
      </c>
      <c r="AI36" s="117">
        <f>(AH$12*AH36)-(AI$24*AH36)</f>
        <v>123.19999999999999</v>
      </c>
      <c r="AJ36" s="456">
        <f>(1/AH$37)*IF(AH$11&lt;$M$35,$Q$35,#REF!)*AH36</f>
        <v>26635.466666666664</v>
      </c>
      <c r="AK36" s="24">
        <v>0.7</v>
      </c>
      <c r="AL36" s="117">
        <f>(AK$12*AK36)-(AL$24*AK36)</f>
        <v>117.6</v>
      </c>
      <c r="AM36" s="456">
        <f>(1/AK$37)*IF(AK$11&lt;$M$35,$Q$35,#REF!)*AK36</f>
        <v>26635.466666666664</v>
      </c>
      <c r="AN36" s="24">
        <v>0.7</v>
      </c>
      <c r="AO36" s="117">
        <f>(AN$12*AN36)-(AO$24*AN36)</f>
        <v>128.79999999999998</v>
      </c>
      <c r="AP36" s="456">
        <f>(1/AN$37)*IF(AN$11&lt;$M$35,$Q$35,#REF!)*AN36</f>
        <v>26635.466666666664</v>
      </c>
      <c r="AQ36" s="24">
        <v>0.7</v>
      </c>
      <c r="AR36" s="117">
        <f>(AQ$12*AQ36)-(AR$24*AQ36)</f>
        <v>123.19999999999999</v>
      </c>
      <c r="AS36" s="456">
        <f>(1/AQ$37)*IF(AQ$11&lt;$M$35,$Q$35,$Q$36)*AQ36</f>
        <v>28700.933333333327</v>
      </c>
      <c r="AT36" s="24">
        <v>0.7</v>
      </c>
      <c r="AU36" s="117">
        <f t="shared" ref="AU36" si="72">(AT$12*AT36)-(AU$24*AT36)</f>
        <v>117.6</v>
      </c>
      <c r="AV36" s="456">
        <v>29519</v>
      </c>
      <c r="AW36" s="24">
        <v>0.7</v>
      </c>
      <c r="AX36" s="117">
        <f t="shared" ref="AX36" si="73">(AW$12*AW36)-(AX$24*AW36)</f>
        <v>123.19999999999999</v>
      </c>
      <c r="AY36" s="456">
        <v>29519</v>
      </c>
      <c r="AZ36" s="480">
        <v>0.7</v>
      </c>
      <c r="BA36" s="490">
        <f t="shared" ref="BA36" si="74">(AZ$12*AZ36)-(BA$24*AZ36)</f>
        <v>123.19999999999999</v>
      </c>
      <c r="BB36" s="489">
        <f>(1/AZ$37)*IF(AZ$11&lt;$M$35,$Q$35,$Q$36)*AZ36</f>
        <v>28700.933333333327</v>
      </c>
      <c r="BC36" s="285">
        <f>SUM(U36,X36,AA36,AD36,AG36,AJ36,AM36,AP36,AS36,AV36,AY36,BB36)</f>
        <v>329523.59999999998</v>
      </c>
      <c r="BD36" t="s">
        <v>196</v>
      </c>
    </row>
    <row r="37" spans="1:56" ht="15" thickBot="1" x14ac:dyDescent="0.35">
      <c r="A37" s="572"/>
      <c r="B37" s="63" t="s">
        <v>36</v>
      </c>
      <c r="C37" s="507"/>
      <c r="D37" s="171"/>
      <c r="E37" s="4"/>
      <c r="F37" s="180"/>
      <c r="G37" s="5"/>
      <c r="H37" s="222"/>
      <c r="I37" s="222"/>
      <c r="J37" s="222"/>
      <c r="K37" s="18"/>
      <c r="L37" s="20"/>
      <c r="M37" s="22"/>
      <c r="N37" s="107"/>
      <c r="O37" s="22"/>
      <c r="P37" s="22"/>
      <c r="Q37" s="23"/>
      <c r="R37" s="63" t="s">
        <v>36</v>
      </c>
      <c r="S37" s="27">
        <f t="shared" ref="S37:AR37" si="75">SUM(S35:S36)</f>
        <v>0.75</v>
      </c>
      <c r="T37" s="77">
        <f t="shared" si="75"/>
        <v>126</v>
      </c>
      <c r="U37" s="209">
        <f t="shared" si="75"/>
        <v>28537.999999999996</v>
      </c>
      <c r="V37" s="27">
        <f t="shared" si="75"/>
        <v>0.75</v>
      </c>
      <c r="W37" s="77">
        <f t="shared" si="75"/>
        <v>120</v>
      </c>
      <c r="X37" s="209">
        <f t="shared" si="75"/>
        <v>28537.999999999996</v>
      </c>
      <c r="Y37" s="27">
        <f t="shared" si="75"/>
        <v>0.75</v>
      </c>
      <c r="Z37" s="77">
        <f t="shared" si="75"/>
        <v>137.99999999999997</v>
      </c>
      <c r="AA37" s="209">
        <f t="shared" si="75"/>
        <v>28537.999999999996</v>
      </c>
      <c r="AB37" s="27">
        <f t="shared" si="75"/>
        <v>0.75</v>
      </c>
      <c r="AC37" s="77">
        <f t="shared" si="75"/>
        <v>126</v>
      </c>
      <c r="AD37" s="209">
        <f t="shared" si="75"/>
        <v>28537.999999999996</v>
      </c>
      <c r="AE37" s="27">
        <f t="shared" si="75"/>
        <v>0.75</v>
      </c>
      <c r="AF37" s="77">
        <f t="shared" si="75"/>
        <v>132</v>
      </c>
      <c r="AG37" s="209">
        <f t="shared" si="75"/>
        <v>28537.999999999996</v>
      </c>
      <c r="AH37" s="27">
        <f t="shared" si="75"/>
        <v>0.75</v>
      </c>
      <c r="AI37" s="77">
        <f t="shared" si="75"/>
        <v>132</v>
      </c>
      <c r="AJ37" s="209">
        <f t="shared" si="75"/>
        <v>28537.999999999996</v>
      </c>
      <c r="AK37" s="27">
        <f t="shared" si="75"/>
        <v>0.75</v>
      </c>
      <c r="AL37" s="77">
        <f t="shared" si="75"/>
        <v>126</v>
      </c>
      <c r="AM37" s="209">
        <f t="shared" si="75"/>
        <v>28537.999999999996</v>
      </c>
      <c r="AN37" s="27">
        <f t="shared" si="75"/>
        <v>0.75</v>
      </c>
      <c r="AO37" s="77">
        <f t="shared" si="75"/>
        <v>137.99999999999997</v>
      </c>
      <c r="AP37" s="209">
        <f t="shared" si="75"/>
        <v>28537.999999999996</v>
      </c>
      <c r="AQ37" s="27">
        <f t="shared" si="75"/>
        <v>0.75</v>
      </c>
      <c r="AR37" s="77">
        <f t="shared" si="75"/>
        <v>132</v>
      </c>
      <c r="AS37" s="209">
        <f>SUM(AS35:AS36)</f>
        <v>30750.999999999993</v>
      </c>
      <c r="AT37" s="27">
        <f t="shared" ref="AT37:BB37" si="76">SUM(AT35:AT36)</f>
        <v>0.75</v>
      </c>
      <c r="AU37" s="77">
        <f t="shared" si="76"/>
        <v>126</v>
      </c>
      <c r="AV37" s="209">
        <f t="shared" si="76"/>
        <v>31628</v>
      </c>
      <c r="AW37" s="27">
        <f t="shared" si="76"/>
        <v>0.75</v>
      </c>
      <c r="AX37" s="77">
        <f t="shared" si="76"/>
        <v>132</v>
      </c>
      <c r="AY37" s="209">
        <f t="shared" si="76"/>
        <v>31628</v>
      </c>
      <c r="AZ37" s="27">
        <f t="shared" si="76"/>
        <v>0.75</v>
      </c>
      <c r="BA37" s="77">
        <f t="shared" si="76"/>
        <v>132</v>
      </c>
      <c r="BB37" s="209">
        <f t="shared" si="76"/>
        <v>30809.933333333327</v>
      </c>
      <c r="BC37" s="285">
        <f>SUM(U37,X37,AA37,AD37,AG37,AJ37,AM37,AP37,AS37,AV37,AY37,BB37)</f>
        <v>353120.93333333335</v>
      </c>
    </row>
    <row r="38" spans="1:56" ht="15" thickBot="1" x14ac:dyDescent="0.35">
      <c r="A38" s="573"/>
      <c r="B38" s="340" t="s">
        <v>27</v>
      </c>
      <c r="C38" s="161"/>
      <c r="D38" s="175"/>
      <c r="E38" s="7"/>
      <c r="F38" s="175"/>
      <c r="G38" s="7"/>
      <c r="H38" s="16"/>
      <c r="I38" s="16"/>
      <c r="J38" s="16"/>
      <c r="K38" s="16"/>
      <c r="L38" s="29"/>
      <c r="M38" s="108"/>
      <c r="N38" s="113"/>
      <c r="O38" s="108"/>
      <c r="P38" s="108"/>
      <c r="Q38" s="99"/>
      <c r="R38" s="340" t="s">
        <v>27</v>
      </c>
      <c r="S38" s="82"/>
      <c r="T38" s="80">
        <f>S38*8*S37</f>
        <v>0</v>
      </c>
      <c r="U38" s="83"/>
      <c r="V38" s="82"/>
      <c r="W38" s="80">
        <f>V38*8*V37</f>
        <v>0</v>
      </c>
      <c r="X38" s="83"/>
      <c r="Y38" s="82"/>
      <c r="Z38" s="80">
        <f>Y38*8*Y37</f>
        <v>0</v>
      </c>
      <c r="AA38" s="83"/>
      <c r="AB38" s="82"/>
      <c r="AC38" s="80">
        <f>AB38*8*AB37</f>
        <v>0</v>
      </c>
      <c r="AD38" s="83"/>
      <c r="AE38" s="82"/>
      <c r="AF38" s="80">
        <f>AE38*8*AE37</f>
        <v>0</v>
      </c>
      <c r="AG38" s="83"/>
      <c r="AH38" s="82"/>
      <c r="AI38" s="80">
        <f>AH38*8*AH37</f>
        <v>0</v>
      </c>
      <c r="AJ38" s="83"/>
      <c r="AK38" s="82"/>
      <c r="AL38" s="80">
        <f>AK38*8*AK37</f>
        <v>0</v>
      </c>
      <c r="AM38" s="83"/>
      <c r="AN38" s="82"/>
      <c r="AO38" s="80">
        <f>AN38*8*AN37</f>
        <v>0</v>
      </c>
      <c r="AP38" s="83"/>
      <c r="AQ38" s="82"/>
      <c r="AR38" s="80">
        <f>AQ38*8*AQ37</f>
        <v>0</v>
      </c>
      <c r="AS38" s="83"/>
      <c r="AT38" s="82"/>
      <c r="AU38" s="80">
        <f t="shared" ref="AU38" si="77">AT38*8*AT37</f>
        <v>0</v>
      </c>
      <c r="AV38" s="83"/>
      <c r="AW38" s="25"/>
      <c r="AX38" s="78">
        <f t="shared" ref="AX38" si="78">AW38*8*AW37</f>
        <v>0</v>
      </c>
      <c r="AY38" s="13"/>
      <c r="AZ38" s="25"/>
      <c r="BA38" s="78">
        <f t="shared" ref="BA38" si="79">AZ38*8*AZ37</f>
        <v>0</v>
      </c>
      <c r="BB38" s="13"/>
      <c r="BC38" s="344">
        <f>25-(S38+V38+Y38+AB38+AE38+AH38+AK38+AN38+AQ38+AT38+AW38+AZ38)</f>
        <v>25</v>
      </c>
    </row>
    <row r="39" spans="1:56" ht="15" thickBot="1" x14ac:dyDescent="0.35">
      <c r="A39" s="575" t="s">
        <v>65</v>
      </c>
      <c r="B39" s="63" t="s">
        <v>7</v>
      </c>
      <c r="C39" s="158" t="s">
        <v>58</v>
      </c>
      <c r="D39" s="176">
        <v>0</v>
      </c>
      <c r="E39" s="131" t="s">
        <v>3</v>
      </c>
      <c r="F39" s="187" t="s">
        <v>50</v>
      </c>
      <c r="G39" s="10">
        <v>43862</v>
      </c>
      <c r="H39" s="225"/>
      <c r="I39" s="225"/>
      <c r="J39" s="225"/>
      <c r="K39" s="130" t="s">
        <v>93</v>
      </c>
      <c r="L39" s="120">
        <v>44197</v>
      </c>
      <c r="M39" s="5">
        <v>44804</v>
      </c>
      <c r="N39" s="109" t="s">
        <v>16</v>
      </c>
      <c r="O39" s="98">
        <f>1321+2641+13205+2641+6603</f>
        <v>26411</v>
      </c>
      <c r="P39" s="22">
        <v>12000</v>
      </c>
      <c r="Q39" s="23">
        <f>P39+O39</f>
        <v>38411</v>
      </c>
      <c r="R39" s="63" t="s">
        <v>7</v>
      </c>
      <c r="S39" s="118">
        <v>0.05</v>
      </c>
      <c r="T39" s="215">
        <f>(S$12*S39)-(T$24*S39)</f>
        <v>8.4</v>
      </c>
      <c r="U39" s="456">
        <f>IF(S$11&lt;$M$39,$Q$39,$Q$40)*S39</f>
        <v>1920.5500000000002</v>
      </c>
      <c r="V39" s="118">
        <v>0.05</v>
      </c>
      <c r="W39" s="215">
        <f>(V$12*V39)-(W$24*V39)</f>
        <v>8</v>
      </c>
      <c r="X39" s="456">
        <f>IF(V$11&lt;$M$39,$Q$39,$Q$40)*V39</f>
        <v>1920.5500000000002</v>
      </c>
      <c r="Y39" s="118">
        <v>0.05</v>
      </c>
      <c r="Z39" s="215">
        <f>(Y$12*Y39)-(Z$24*Y39)</f>
        <v>9.2000000000000011</v>
      </c>
      <c r="AA39" s="456">
        <f>IF(Y$11&lt;$M$39,$Q$39,$Q$40)*Y39</f>
        <v>1920.5500000000002</v>
      </c>
      <c r="AB39" s="118">
        <v>0.05</v>
      </c>
      <c r="AC39" s="215">
        <f>(AB$12*AB39)-(AC$24*AB39)</f>
        <v>8.4</v>
      </c>
      <c r="AD39" s="456">
        <f>IF(AB$11&lt;$M$39,$Q$39,$Q$40)*AB39</f>
        <v>1920.5500000000002</v>
      </c>
      <c r="AE39" s="118">
        <v>0.05</v>
      </c>
      <c r="AF39" s="215">
        <f>(AE$12*AE39)-(AF$24*AE39)</f>
        <v>8.8000000000000007</v>
      </c>
      <c r="AG39" s="456">
        <f>IF(AE$11&lt;$M$39,$Q$39,$Q$40)*AE39</f>
        <v>1920.5500000000002</v>
      </c>
      <c r="AH39" s="118">
        <v>0.05</v>
      </c>
      <c r="AI39" s="215">
        <f>(AH$12*AH39)-(AI$24*AH39)</f>
        <v>8.8000000000000007</v>
      </c>
      <c r="AJ39" s="456">
        <f>IF(AH$11&lt;$M$39,$Q$39,$Q$40)*AH39</f>
        <v>1920.5500000000002</v>
      </c>
      <c r="AK39" s="118">
        <v>0.05</v>
      </c>
      <c r="AL39" s="215">
        <f>(AK$12*AK39)-(AL$24*AK39)</f>
        <v>8.4</v>
      </c>
      <c r="AM39" s="456">
        <f>IF(AK$11&lt;$M$39,$Q$39,$Q$40)*AK39</f>
        <v>1920.5500000000002</v>
      </c>
      <c r="AN39" s="118">
        <v>0.05</v>
      </c>
      <c r="AO39" s="215">
        <f>(AN$12*AN39)-(AO$24*AN39)</f>
        <v>9.2000000000000011</v>
      </c>
      <c r="AP39" s="456">
        <f>IF(AN$11&lt;$M$39,$Q$39,$Q$40)*AN39</f>
        <v>1920.5500000000002</v>
      </c>
      <c r="AQ39" s="118">
        <v>0.05</v>
      </c>
      <c r="AR39" s="215">
        <f>(AQ$12*AQ39)-(AR$24*AQ39)</f>
        <v>8.8000000000000007</v>
      </c>
      <c r="AS39" s="456">
        <f>IF(AQ$11&lt;$M$39,$Q$39,$Q$40)*AQ39</f>
        <v>2053</v>
      </c>
      <c r="AT39" s="118">
        <v>0.05</v>
      </c>
      <c r="AU39" s="215">
        <f>(AT$12*AT39)-(AU$24*AT39)</f>
        <v>8.4</v>
      </c>
      <c r="AV39" s="456">
        <f>IF(AT$11&lt;$M$39,$Q$39,$Q$40)*AT39</f>
        <v>2053</v>
      </c>
      <c r="AW39" s="470"/>
      <c r="AX39" s="504"/>
      <c r="AY39" s="505"/>
      <c r="AZ39" s="470"/>
      <c r="BA39" s="504"/>
      <c r="BB39" s="505"/>
      <c r="BC39" s="285">
        <f>SUM(U39,X39,AA39,AD39,AG39,AJ39,AM39,AP39,AS39,AV39,AY39,BB39)</f>
        <v>19470.399999999998</v>
      </c>
    </row>
    <row r="40" spans="1:56" ht="15" thickBot="1" x14ac:dyDescent="0.35">
      <c r="A40" s="576"/>
      <c r="B40" s="63" t="s">
        <v>6</v>
      </c>
      <c r="C40" s="158" t="s">
        <v>58</v>
      </c>
      <c r="D40" s="177"/>
      <c r="E40" s="11"/>
      <c r="F40" s="193" t="s">
        <v>50</v>
      </c>
      <c r="G40" s="10">
        <v>43862</v>
      </c>
      <c r="H40" s="225">
        <v>45230</v>
      </c>
      <c r="I40" s="225"/>
      <c r="J40" s="225"/>
      <c r="K40" s="19"/>
      <c r="L40" s="375">
        <v>44805</v>
      </c>
      <c r="M40" s="5">
        <v>44926</v>
      </c>
      <c r="N40" s="109" t="s">
        <v>16</v>
      </c>
      <c r="O40" s="22">
        <f>1453+5812+21795</f>
        <v>29060</v>
      </c>
      <c r="P40" s="22">
        <f>600+2400+9000</f>
        <v>12000</v>
      </c>
      <c r="Q40" s="23">
        <f>P40+O40</f>
        <v>41060</v>
      </c>
      <c r="R40" s="63" t="s">
        <v>6</v>
      </c>
      <c r="S40" s="24">
        <v>0.2</v>
      </c>
      <c r="T40" s="96">
        <f>(S$12*S40)-(T$24*S40)</f>
        <v>33.6</v>
      </c>
      <c r="U40" s="456">
        <f>IF(S$11&lt;$M$39,$Q$39,$Q$40)*S40</f>
        <v>7682.2000000000007</v>
      </c>
      <c r="V40" s="24">
        <v>0.2</v>
      </c>
      <c r="W40" s="96">
        <f>(V$12*V40)-(W$24*V40)</f>
        <v>32</v>
      </c>
      <c r="X40" s="456">
        <f>IF(V$11&lt;$M$39,$Q$39,$Q$40)*V40</f>
        <v>7682.2000000000007</v>
      </c>
      <c r="Y40" s="24">
        <v>0.2</v>
      </c>
      <c r="Z40" s="96">
        <f>(Y$12*Y40)-(Z$24*Y40)</f>
        <v>36.800000000000004</v>
      </c>
      <c r="AA40" s="456">
        <f>IF(Y$11&lt;$M$39,$Q$39,$Q$40)*Y40</f>
        <v>7682.2000000000007</v>
      </c>
      <c r="AB40" s="24">
        <v>0.2</v>
      </c>
      <c r="AC40" s="96">
        <f>(AB$12*AB40)-(AC$24*AB40)</f>
        <v>33.6</v>
      </c>
      <c r="AD40" s="456">
        <f>IF(AB$11&lt;$M$39,$Q$39,$Q$40)*AB40</f>
        <v>7682.2000000000007</v>
      </c>
      <c r="AE40" s="24">
        <v>0.2</v>
      </c>
      <c r="AF40" s="96">
        <f>(AE$12*AE40)-(AF$24*AE40)</f>
        <v>35.200000000000003</v>
      </c>
      <c r="AG40" s="456">
        <f>IF(AE$11&lt;$M$39,$Q$39,$Q$40)*AE40</f>
        <v>7682.2000000000007</v>
      </c>
      <c r="AH40" s="24">
        <v>0.2</v>
      </c>
      <c r="AI40" s="96">
        <f>(AH$12*AH40)-(AI$24*AH40)</f>
        <v>35.200000000000003</v>
      </c>
      <c r="AJ40" s="456">
        <f>IF(AH$11&lt;$M$39,$Q$39,$Q$40)*AH40</f>
        <v>7682.2000000000007</v>
      </c>
      <c r="AK40" s="24">
        <v>0.2</v>
      </c>
      <c r="AL40" s="96">
        <f>(AK$12*AK40)-(AL$24*AK40)</f>
        <v>33.6</v>
      </c>
      <c r="AM40" s="456">
        <f>IF(AK$11&lt;$M$39,$Q$39,$Q$40)*AK40</f>
        <v>7682.2000000000007</v>
      </c>
      <c r="AN40" s="24">
        <v>0.2</v>
      </c>
      <c r="AO40" s="96">
        <f>(AN$12*AN40)-(AO$24*AN40)</f>
        <v>36.800000000000004</v>
      </c>
      <c r="AP40" s="456">
        <f>IF(AN$11&lt;$M$39,$Q$39,$Q$40)*AN40</f>
        <v>7682.2000000000007</v>
      </c>
      <c r="AQ40" s="24">
        <v>0.2</v>
      </c>
      <c r="AR40" s="96">
        <f>(AQ$12*AQ40)-(AR$24*AQ40)</f>
        <v>35.200000000000003</v>
      </c>
      <c r="AS40" s="456">
        <f>IF(AQ$11&lt;$M$39,$Q$39,$Q$40)*AQ40</f>
        <v>8212</v>
      </c>
      <c r="AT40" s="24">
        <v>0.2</v>
      </c>
      <c r="AU40" s="96">
        <f>(AT$12*AT40)-(AU$24*AT40)</f>
        <v>33.6</v>
      </c>
      <c r="AV40" s="456">
        <f>IF(AT$11&lt;$M$39,$Q$39,$Q$40)*AT40</f>
        <v>8212</v>
      </c>
      <c r="AW40" s="467"/>
      <c r="AX40" s="486"/>
      <c r="AY40" s="487"/>
      <c r="AZ40" s="467"/>
      <c r="BA40" s="486"/>
      <c r="BB40" s="487"/>
      <c r="BC40" s="285">
        <f>SUM(U40,X40,AA40,AD40,AG40,AJ40,AM40,AP40,AS40,AV40,AY40,BB40)</f>
        <v>77881.599999999991</v>
      </c>
    </row>
    <row r="41" spans="1:56" ht="15" thickBot="1" x14ac:dyDescent="0.35">
      <c r="A41" s="576"/>
      <c r="B41" s="63" t="s">
        <v>9</v>
      </c>
      <c r="C41" s="158" t="s">
        <v>58</v>
      </c>
      <c r="D41" s="177"/>
      <c r="E41" s="11"/>
      <c r="F41" s="193" t="s">
        <v>50</v>
      </c>
      <c r="G41" s="10">
        <v>43862</v>
      </c>
      <c r="H41" s="222">
        <v>44742</v>
      </c>
      <c r="I41" s="222"/>
      <c r="J41" s="222"/>
      <c r="K41" s="19"/>
      <c r="L41" s="20"/>
      <c r="M41" s="22"/>
      <c r="N41" s="107"/>
      <c r="O41" s="22"/>
      <c r="P41" s="22"/>
      <c r="Q41" s="23"/>
      <c r="R41" s="63" t="s">
        <v>9</v>
      </c>
      <c r="S41" s="24">
        <v>0.5</v>
      </c>
      <c r="T41" s="96">
        <f>(S$12*S41)-(T$24*S41)</f>
        <v>84</v>
      </c>
      <c r="U41" s="456">
        <f>IF(S$11&lt;$M$39,$Q$39,$Q$40)*S41</f>
        <v>19205.5</v>
      </c>
      <c r="V41" s="24">
        <v>0.5</v>
      </c>
      <c r="W41" s="96">
        <f>(V$12*V41)-(W$24*V41)</f>
        <v>80</v>
      </c>
      <c r="X41" s="456">
        <f>IF(V$11&lt;$M$39,$Q$39,$Q$40)*V41</f>
        <v>19205.5</v>
      </c>
      <c r="Y41" s="24">
        <v>0.5</v>
      </c>
      <c r="Z41" s="96">
        <f>(Y$12*Y41)-(Z$24*Y41)</f>
        <v>92</v>
      </c>
      <c r="AA41" s="456">
        <f>IF(Y$11&lt;$M$39,$Q$39,$Q$40)*Y41</f>
        <v>19205.5</v>
      </c>
      <c r="AB41" s="24">
        <v>0.5</v>
      </c>
      <c r="AC41" s="96">
        <f>(AB$12*AB41)-(AC$24*AB41)</f>
        <v>84</v>
      </c>
      <c r="AD41" s="456">
        <f>IF(AB$11&lt;$M$39,$Q$39,$Q$40)*AB41</f>
        <v>19205.5</v>
      </c>
      <c r="AE41" s="24">
        <v>0.5</v>
      </c>
      <c r="AF41" s="96">
        <f>(AE$12*AE41)-(AF$24*AE41)</f>
        <v>88</v>
      </c>
      <c r="AG41" s="456">
        <f>IF(AE$11&lt;$M$39,$Q$39,$Q$40)*AE41</f>
        <v>19205.5</v>
      </c>
      <c r="AH41" s="24">
        <v>0.5</v>
      </c>
      <c r="AI41" s="96">
        <f>(AH$12*AH41)-(AI$24*AH41)</f>
        <v>88</v>
      </c>
      <c r="AJ41" s="456">
        <f>IF(AH$11&lt;$M$39,$Q$39,$Q$40)*AH41</f>
        <v>19205.5</v>
      </c>
      <c r="AK41" s="467"/>
      <c r="AL41" s="486"/>
      <c r="AM41" s="487"/>
      <c r="AN41" s="467"/>
      <c r="AO41" s="486"/>
      <c r="AP41" s="487"/>
      <c r="AQ41" s="467"/>
      <c r="AR41" s="486"/>
      <c r="AS41" s="487"/>
      <c r="AT41" s="467"/>
      <c r="AU41" s="486"/>
      <c r="AV41" s="487"/>
      <c r="AW41" s="467"/>
      <c r="AX41" s="486"/>
      <c r="AY41" s="487"/>
      <c r="AZ41" s="467"/>
      <c r="BA41" s="486"/>
      <c r="BB41" s="487"/>
      <c r="BC41" s="285">
        <f>SUM(U41,X41,AA41,AD41,AG41,AJ41,AM41,AP41,AS41,AV41,AY41,BB41)</f>
        <v>115233</v>
      </c>
    </row>
    <row r="42" spans="1:56" ht="15" thickBot="1" x14ac:dyDescent="0.35">
      <c r="A42" s="576"/>
      <c r="B42" s="63" t="s">
        <v>29</v>
      </c>
      <c r="C42" s="158" t="s">
        <v>58</v>
      </c>
      <c r="D42" s="177"/>
      <c r="E42" s="11"/>
      <c r="F42" s="193" t="s">
        <v>50</v>
      </c>
      <c r="G42" s="10">
        <v>43952</v>
      </c>
      <c r="H42" s="5">
        <v>44926</v>
      </c>
      <c r="I42" s="5"/>
      <c r="J42" s="5"/>
      <c r="K42" s="19"/>
      <c r="L42" s="97"/>
      <c r="M42" s="98"/>
      <c r="N42" s="112"/>
      <c r="O42" s="98"/>
      <c r="P42" s="98"/>
      <c r="Q42" s="137"/>
      <c r="R42" s="63" t="s">
        <v>29</v>
      </c>
      <c r="S42" s="24">
        <v>0.25</v>
      </c>
      <c r="T42" s="96">
        <f>(S$12*S42)-(T$24*S42)</f>
        <v>42</v>
      </c>
      <c r="U42" s="456">
        <f>IF(S$11&lt;$M$39,$Q$39,$Q$40)*S42</f>
        <v>9602.75</v>
      </c>
      <c r="V42" s="24">
        <v>0.25</v>
      </c>
      <c r="W42" s="96">
        <f>(V$12*V42)-(W$24*V42)</f>
        <v>40</v>
      </c>
      <c r="X42" s="456">
        <f>IF(V$11&lt;$M$39,$Q$39,$Q$40)*V42</f>
        <v>9602.75</v>
      </c>
      <c r="Y42" s="24">
        <v>0.25</v>
      </c>
      <c r="Z42" s="96">
        <f>(Y$12*Y42)-(Z$24*Y42)</f>
        <v>46</v>
      </c>
      <c r="AA42" s="456">
        <f>IF(Y$11&lt;$M$39,$Q$39,$Q$40)*Y42</f>
        <v>9602.75</v>
      </c>
      <c r="AB42" s="24">
        <v>0.25</v>
      </c>
      <c r="AC42" s="96">
        <f>(AB$12*AB42)-(AC$24*AB42)</f>
        <v>42</v>
      </c>
      <c r="AD42" s="456">
        <f>IF(AB$11&lt;$M$39,$Q$39,$Q$40)*AB42</f>
        <v>9602.75</v>
      </c>
      <c r="AE42" s="24">
        <v>0.25</v>
      </c>
      <c r="AF42" s="96">
        <f>(AE$12*AE42)-(AF$24*AE42)</f>
        <v>44</v>
      </c>
      <c r="AG42" s="456">
        <f>IF(AE$11&lt;$M$39,$Q$39,$Q$40)*AE42</f>
        <v>9602.75</v>
      </c>
      <c r="AH42" s="24">
        <v>0.25</v>
      </c>
      <c r="AI42" s="96">
        <f>(AH$12*AH42)-(AI$24*AH42)</f>
        <v>44</v>
      </c>
      <c r="AJ42" s="456">
        <f>IF(AH$11&lt;$M$39,$Q$39,$Q$40)*AH42</f>
        <v>9602.75</v>
      </c>
      <c r="AK42" s="450">
        <v>0.75</v>
      </c>
      <c r="AL42" s="96">
        <f>(AK$12*AK42)-(AL$24*AK42)</f>
        <v>126</v>
      </c>
      <c r="AM42" s="456">
        <f>IF(AK$11&lt;$M$39,$Q$39,$Q$40)*AK42</f>
        <v>28808.25</v>
      </c>
      <c r="AN42" s="24">
        <v>0.75</v>
      </c>
      <c r="AO42" s="96">
        <f>(AN$12*AN42)-(AO$24*AN42)</f>
        <v>138</v>
      </c>
      <c r="AP42" s="456">
        <f>IF(AN$11&lt;$M$39,$Q$39,$Q$40)*AN42</f>
        <v>28808.25</v>
      </c>
      <c r="AQ42" s="24">
        <v>0.75</v>
      </c>
      <c r="AR42" s="96">
        <f>(AQ$12*AQ42)-(AR$24*AQ42)</f>
        <v>132</v>
      </c>
      <c r="AS42" s="456">
        <f>IF(AQ$11&lt;$M$39,$Q$39,$Q$40)*AQ42</f>
        <v>30795</v>
      </c>
      <c r="AT42" s="24">
        <v>0.75</v>
      </c>
      <c r="AU42" s="96">
        <f>(AT$12*AT42)-(AU$24*AT42)</f>
        <v>126</v>
      </c>
      <c r="AV42" s="456">
        <f>IF(AT$11&lt;$M$39,$Q$39,$Q$40)*AT42</f>
        <v>30795</v>
      </c>
      <c r="AW42" s="467"/>
      <c r="AX42" s="486"/>
      <c r="AY42" s="487"/>
      <c r="AZ42" s="467"/>
      <c r="BA42" s="486"/>
      <c r="BB42" s="487"/>
      <c r="BC42" s="285">
        <f>SUM(U42,X42,AA42,AD42,AG42,AJ42,AM42,AP42,AS42,AV42,AY42,BB42)</f>
        <v>176823</v>
      </c>
    </row>
    <row r="43" spans="1:56" ht="15" thickBot="1" x14ac:dyDescent="0.35">
      <c r="A43" s="576"/>
      <c r="B43" s="63" t="s">
        <v>36</v>
      </c>
      <c r="C43" s="496"/>
      <c r="D43" s="177"/>
      <c r="E43" s="11"/>
      <c r="F43" s="188"/>
      <c r="G43" s="12"/>
      <c r="H43" s="226"/>
      <c r="I43" s="226"/>
      <c r="J43" s="226"/>
      <c r="K43" s="19"/>
      <c r="L43" s="20"/>
      <c r="M43" s="22"/>
      <c r="N43" s="107"/>
      <c r="O43" s="22"/>
      <c r="P43" s="22"/>
      <c r="Q43" s="23"/>
      <c r="R43" s="63" t="s">
        <v>36</v>
      </c>
      <c r="S43" s="27">
        <f t="shared" ref="S43:AV43" si="80">SUM(S39:S42)</f>
        <v>1</v>
      </c>
      <c r="T43" s="77">
        <f t="shared" si="80"/>
        <v>168</v>
      </c>
      <c r="U43" s="28">
        <f t="shared" si="80"/>
        <v>38411</v>
      </c>
      <c r="V43" s="27">
        <f t="shared" si="80"/>
        <v>1</v>
      </c>
      <c r="W43" s="77">
        <f t="shared" si="80"/>
        <v>160</v>
      </c>
      <c r="X43" s="28">
        <f t="shared" si="80"/>
        <v>38411</v>
      </c>
      <c r="Y43" s="27">
        <f t="shared" si="80"/>
        <v>1</v>
      </c>
      <c r="Z43" s="77">
        <f t="shared" si="80"/>
        <v>184</v>
      </c>
      <c r="AA43" s="28">
        <f t="shared" si="80"/>
        <v>38411</v>
      </c>
      <c r="AB43" s="27">
        <f t="shared" si="80"/>
        <v>1</v>
      </c>
      <c r="AC43" s="77">
        <f t="shared" si="80"/>
        <v>168</v>
      </c>
      <c r="AD43" s="28">
        <f t="shared" si="80"/>
        <v>38411</v>
      </c>
      <c r="AE43" s="27">
        <f t="shared" si="80"/>
        <v>1</v>
      </c>
      <c r="AF43" s="77">
        <f t="shared" si="80"/>
        <v>176</v>
      </c>
      <c r="AG43" s="28">
        <f t="shared" si="80"/>
        <v>38411</v>
      </c>
      <c r="AH43" s="27">
        <f t="shared" si="80"/>
        <v>1</v>
      </c>
      <c r="AI43" s="77">
        <f t="shared" si="80"/>
        <v>176</v>
      </c>
      <c r="AJ43" s="28">
        <f t="shared" si="80"/>
        <v>38411</v>
      </c>
      <c r="AK43" s="27">
        <f t="shared" si="80"/>
        <v>1</v>
      </c>
      <c r="AL43" s="77">
        <f t="shared" si="80"/>
        <v>168</v>
      </c>
      <c r="AM43" s="28">
        <f t="shared" si="80"/>
        <v>38411</v>
      </c>
      <c r="AN43" s="27">
        <f t="shared" si="80"/>
        <v>1</v>
      </c>
      <c r="AO43" s="77">
        <f t="shared" si="80"/>
        <v>184</v>
      </c>
      <c r="AP43" s="28">
        <f t="shared" si="80"/>
        <v>38411</v>
      </c>
      <c r="AQ43" s="27">
        <f t="shared" si="80"/>
        <v>1</v>
      </c>
      <c r="AR43" s="77">
        <f t="shared" si="80"/>
        <v>176</v>
      </c>
      <c r="AS43" s="28">
        <f t="shared" si="80"/>
        <v>41060</v>
      </c>
      <c r="AT43" s="27">
        <f t="shared" si="80"/>
        <v>1</v>
      </c>
      <c r="AU43" s="77">
        <f t="shared" si="80"/>
        <v>168</v>
      </c>
      <c r="AV43" s="28">
        <f t="shared" si="80"/>
        <v>41060</v>
      </c>
      <c r="AW43" s="27"/>
      <c r="AX43" s="77"/>
      <c r="AY43" s="28"/>
      <c r="AZ43" s="27"/>
      <c r="BA43" s="77"/>
      <c r="BB43" s="28"/>
      <c r="BC43" s="285">
        <f>SUM(U43,X43,AA43,AD43,AG43,AJ43,AM43,AP43,AS43,AV43,AY43,BB43)</f>
        <v>389408</v>
      </c>
    </row>
    <row r="44" spans="1:56" ht="15" thickBot="1" x14ac:dyDescent="0.35">
      <c r="A44" s="577"/>
      <c r="B44" s="340" t="s">
        <v>27</v>
      </c>
      <c r="C44" s="163"/>
      <c r="D44" s="178"/>
      <c r="E44" s="74"/>
      <c r="F44" s="189"/>
      <c r="G44" s="75"/>
      <c r="H44" s="227"/>
      <c r="I44" s="227"/>
      <c r="J44" s="227"/>
      <c r="K44" s="76"/>
      <c r="L44" s="29"/>
      <c r="M44" s="108"/>
      <c r="N44" s="113"/>
      <c r="O44" s="108"/>
      <c r="P44" s="108"/>
      <c r="Q44" s="99"/>
      <c r="R44" s="340" t="s">
        <v>27</v>
      </c>
      <c r="S44" s="25"/>
      <c r="T44" s="78">
        <f>S44*8*S43</f>
        <v>0</v>
      </c>
      <c r="U44" s="13"/>
      <c r="V44" s="25"/>
      <c r="W44" s="78">
        <f>V44*8*V43</f>
        <v>0</v>
      </c>
      <c r="X44" s="13"/>
      <c r="Y44" s="25"/>
      <c r="Z44" s="78">
        <f>Y44*8*Y43</f>
        <v>0</v>
      </c>
      <c r="AA44" s="13"/>
      <c r="AB44" s="25"/>
      <c r="AC44" s="78">
        <f>AB44*8*AB43</f>
        <v>0</v>
      </c>
      <c r="AD44" s="13"/>
      <c r="AE44" s="25"/>
      <c r="AF44" s="78">
        <f>AE44*8*AE43</f>
        <v>0</v>
      </c>
      <c r="AG44" s="13"/>
      <c r="AH44" s="25"/>
      <c r="AI44" s="78">
        <f>AH44*8*AH43</f>
        <v>0</v>
      </c>
      <c r="AJ44" s="13"/>
      <c r="AK44" s="25"/>
      <c r="AL44" s="78">
        <f>AK44*8*AK43</f>
        <v>0</v>
      </c>
      <c r="AM44" s="13"/>
      <c r="AN44" s="25"/>
      <c r="AO44" s="78">
        <f>AN44*8*AN43</f>
        <v>0</v>
      </c>
      <c r="AP44" s="13"/>
      <c r="AQ44" s="25"/>
      <c r="AR44" s="78">
        <f>AQ44*8*AQ43</f>
        <v>0</v>
      </c>
      <c r="AS44" s="13"/>
      <c r="AT44" s="25"/>
      <c r="AU44" s="78">
        <f>AT44*8*AT43</f>
        <v>0</v>
      </c>
      <c r="AV44" s="13"/>
      <c r="AW44" s="25"/>
      <c r="AX44" s="78"/>
      <c r="AY44" s="13"/>
      <c r="AZ44" s="513"/>
      <c r="BA44" s="78"/>
      <c r="BB44" s="13"/>
      <c r="BC44" s="344">
        <f>25-(S44+V44+Y44+AB44+AE44+AH44+AK44+AN44+AQ44+AT44+AW44+AZ44)</f>
        <v>25</v>
      </c>
    </row>
    <row r="45" spans="1:56" ht="15" thickBot="1" x14ac:dyDescent="0.35">
      <c r="A45" s="536" t="s">
        <v>66</v>
      </c>
      <c r="B45" s="62" t="s">
        <v>7</v>
      </c>
      <c r="C45" s="197" t="s">
        <v>57</v>
      </c>
      <c r="D45" s="176">
        <v>0</v>
      </c>
      <c r="E45" s="131" t="s">
        <v>1</v>
      </c>
      <c r="F45" s="187" t="s">
        <v>50</v>
      </c>
      <c r="G45" s="132">
        <v>43891</v>
      </c>
      <c r="H45" s="221"/>
      <c r="I45" s="221"/>
      <c r="J45" s="221"/>
      <c r="K45" s="130"/>
      <c r="L45" s="133">
        <v>44256</v>
      </c>
      <c r="M45" s="5">
        <v>44804</v>
      </c>
      <c r="N45" s="134" t="s">
        <v>48</v>
      </c>
      <c r="O45" s="15">
        <v>29500</v>
      </c>
      <c r="P45" s="15">
        <f>5000+5000+15000</f>
        <v>25000</v>
      </c>
      <c r="Q45" s="135">
        <f>P45+O45</f>
        <v>54500</v>
      </c>
      <c r="R45" s="125" t="s">
        <v>7</v>
      </c>
      <c r="S45" s="24">
        <v>0.05</v>
      </c>
      <c r="T45" s="117">
        <f>(S$12*S45)-(T$63*S45)</f>
        <v>8.4</v>
      </c>
      <c r="U45" s="18">
        <f>(1/S$49)*IF(S$11&lt;$M$45,$Q$45,$Q$46)*S45</f>
        <v>2724.9999999999995</v>
      </c>
      <c r="V45" s="24">
        <v>0.05</v>
      </c>
      <c r="W45" s="117">
        <f>(V$12*V45)-(W$63*V45)</f>
        <v>8</v>
      </c>
      <c r="X45" s="18">
        <f>(1/V$49)*IF(V$11&lt;$M$45,$Q$45,$Q$46)*V45</f>
        <v>2724.9999999999995</v>
      </c>
      <c r="Y45" s="24">
        <v>0.05</v>
      </c>
      <c r="Z45" s="117">
        <f>(Y$12*Y45)-(Z$63*Y45)</f>
        <v>9.2000000000000011</v>
      </c>
      <c r="AA45" s="18">
        <f>(1/Y$49)*IF(Y$11&lt;$M$45,$Q$45,$Q$46)*Y45</f>
        <v>2724.9999999999995</v>
      </c>
      <c r="AB45" s="24">
        <v>0.05</v>
      </c>
      <c r="AC45" s="117">
        <f>(AB$12*AB45)-(AC$63*AB45)</f>
        <v>8.4</v>
      </c>
      <c r="AD45" s="18">
        <f>(1/AB$49)*IF(AB$11&lt;$M$45,$Q$45,$Q$46)*AB45</f>
        <v>2724.9999999999995</v>
      </c>
      <c r="AE45" s="24">
        <v>0.05</v>
      </c>
      <c r="AF45" s="117">
        <f>(AE$12*AE45)-(AF$63*AE45)</f>
        <v>8.8000000000000007</v>
      </c>
      <c r="AG45" s="18">
        <f>(1/AE$49)*IF(AE$11&lt;$M$45,$Q$45,$Q$46)*AE45</f>
        <v>2724.9999999999995</v>
      </c>
      <c r="AH45" s="24">
        <v>0.05</v>
      </c>
      <c r="AI45" s="117">
        <f>(AH$12*AH45)-(AI$63*AH45)</f>
        <v>8.8000000000000007</v>
      </c>
      <c r="AJ45" s="18">
        <f>(1/AH$49)*IF(AH$11&lt;$M$45,$Q$45,$Q$46)*AH45</f>
        <v>2724.9999999999995</v>
      </c>
      <c r="AK45" s="24">
        <v>0.05</v>
      </c>
      <c r="AL45" s="117">
        <f>(AK$12*AK45)-(AL$63*AK45)</f>
        <v>8.4</v>
      </c>
      <c r="AM45" s="18">
        <f>(1/AK$49)*IF(AK$11&lt;$M$45,$Q$45,$Q$46)*AK45</f>
        <v>2725</v>
      </c>
      <c r="AN45" s="24">
        <v>0.05</v>
      </c>
      <c r="AO45" s="117">
        <f>(AN$12*AN45)-(AO$63*AN45)</f>
        <v>9.2000000000000011</v>
      </c>
      <c r="AP45" s="18">
        <f>(1/AN$49)*IF(AN$11&lt;$M$45,$Q$45,$Q$46)*AN45</f>
        <v>2725</v>
      </c>
      <c r="AQ45" s="24">
        <v>0.05</v>
      </c>
      <c r="AR45" s="117">
        <f>(AQ$12*AQ45)-(AR$63*AQ45)</f>
        <v>8.8000000000000007</v>
      </c>
      <c r="AS45" s="18">
        <f>(1/AQ$49)*IF(AQ$11&lt;$M$45,$Q$45,$Q$46)*AQ45</f>
        <v>2872.55</v>
      </c>
      <c r="AT45" s="24">
        <v>0.05</v>
      </c>
      <c r="AU45" s="117">
        <f>(AT$12*AT45)-(AU$63*AT45)</f>
        <v>8.4</v>
      </c>
      <c r="AV45" s="18">
        <f>(1/AT$49)*IF(AT$11&lt;$M$45,$Q$45,$Q$46)*AT45</f>
        <v>2872.55</v>
      </c>
      <c r="AW45" s="26">
        <v>0.05</v>
      </c>
      <c r="AX45" s="214">
        <f>(AW$12*AW45)-(AX$63*AW45)</f>
        <v>8.8000000000000007</v>
      </c>
      <c r="AY45" s="17">
        <f>(1/AW$49)*IF(AW$11&lt;$M$45,$Q$45,$Q$46)*AW45</f>
        <v>2872.55</v>
      </c>
      <c r="AZ45" s="24">
        <v>0.05</v>
      </c>
      <c r="BA45" s="117">
        <f>(AZ$12*AZ45)-(BA$63*AZ45)</f>
        <v>8.8000000000000007</v>
      </c>
      <c r="BB45" s="18">
        <f>(1/AZ$49)*IF(AZ$11&lt;$M$45,$Q$45,$Q$46)*AZ45</f>
        <v>2872.55</v>
      </c>
      <c r="BC45" s="285">
        <f>SUM(U45,X45,AA45,AD45,AG45,AJ45,AM45,AP45,AS45,AV45,AY45,BB45)</f>
        <v>33290.199999999997</v>
      </c>
    </row>
    <row r="46" spans="1:56" ht="15" thickBot="1" x14ac:dyDescent="0.35">
      <c r="A46" s="537"/>
      <c r="B46" s="63" t="s">
        <v>6</v>
      </c>
      <c r="C46" s="217" t="s">
        <v>58</v>
      </c>
      <c r="D46" s="177"/>
      <c r="E46" s="11"/>
      <c r="F46" s="193" t="s">
        <v>50</v>
      </c>
      <c r="G46" s="10">
        <v>43891</v>
      </c>
      <c r="H46" s="225">
        <v>45230</v>
      </c>
      <c r="I46" s="225"/>
      <c r="J46" s="225"/>
      <c r="K46" s="19"/>
      <c r="L46" s="375">
        <v>44805</v>
      </c>
      <c r="M46" s="5">
        <v>44926</v>
      </c>
      <c r="N46" s="109" t="s">
        <v>48</v>
      </c>
      <c r="O46" s="98">
        <f>27583+1623+3245</f>
        <v>32451</v>
      </c>
      <c r="P46" s="22">
        <f>21250+1250+2500</f>
        <v>25000</v>
      </c>
      <c r="Q46" s="23">
        <f>P46+O46</f>
        <v>57451</v>
      </c>
      <c r="R46" s="125" t="s">
        <v>6</v>
      </c>
      <c r="S46" s="24">
        <v>0.65</v>
      </c>
      <c r="T46" s="117">
        <f>(S$12*S46)-(T$63*S46)</f>
        <v>109.2</v>
      </c>
      <c r="U46" s="18">
        <f>(1/S$49)*IF(S$11&lt;$M$45,$Q$45,$Q$46)*S46</f>
        <v>35424.999999999993</v>
      </c>
      <c r="V46" s="24">
        <v>0.65</v>
      </c>
      <c r="W46" s="117">
        <f>(V$12*V46)-(W$63*V46)</f>
        <v>104</v>
      </c>
      <c r="X46" s="18">
        <f>(1/V$49)*IF(V$11&lt;$M$45,$Q$45,$Q$46)*V46</f>
        <v>35424.999999999993</v>
      </c>
      <c r="Y46" s="24">
        <v>0.65</v>
      </c>
      <c r="Z46" s="117">
        <f>(Y$12*Y46)-(Z$63*Y46)</f>
        <v>119.60000000000001</v>
      </c>
      <c r="AA46" s="18">
        <f>(1/Y$49)*IF(Y$11&lt;$M$45,$Q$45,$Q$46)*Y46</f>
        <v>35424.999999999993</v>
      </c>
      <c r="AB46" s="24">
        <v>0.65</v>
      </c>
      <c r="AC46" s="117">
        <f>(AB$12*AB46)-(AC$63*AB46)</f>
        <v>109.2</v>
      </c>
      <c r="AD46" s="18">
        <f>(1/AB$49)*IF(AB$11&lt;$M$45,$Q$45,$Q$46)*AB46</f>
        <v>35424.999999999993</v>
      </c>
      <c r="AE46" s="24">
        <v>0.65</v>
      </c>
      <c r="AF46" s="117">
        <f>(AE$12*AE46)-(AF$63*AE46)</f>
        <v>114.4</v>
      </c>
      <c r="AG46" s="18">
        <f>(1/AE$49)*IF(AE$11&lt;$M$45,$Q$45,$Q$46)*AE46</f>
        <v>35424.999999999993</v>
      </c>
      <c r="AH46" s="24">
        <v>0.65</v>
      </c>
      <c r="AI46" s="117">
        <f>(AH$12*AH46)-(AI$63*AH46)</f>
        <v>114.4</v>
      </c>
      <c r="AJ46" s="18">
        <f>(1/AH$49)*IF(AH$11&lt;$M$45,$Q$45,$Q$46)*AH46</f>
        <v>35424.999999999993</v>
      </c>
      <c r="AK46" s="450">
        <v>0.85</v>
      </c>
      <c r="AL46" s="117">
        <f>(AK$12*AK46)-(AL$63*AK46)</f>
        <v>142.79999999999998</v>
      </c>
      <c r="AM46" s="18">
        <f>(1/AK$49)*IF(AK$11&lt;$M$45,$Q$45,$Q$46)*AK46</f>
        <v>46325</v>
      </c>
      <c r="AN46" s="24">
        <v>0.85</v>
      </c>
      <c r="AO46" s="117">
        <f>(AN$12*AN46)-(AO$63*AN46)</f>
        <v>156.4</v>
      </c>
      <c r="AP46" s="18">
        <f>(1/AN$49)*IF(AN$11&lt;$M$45,$Q$45,$Q$46)*AN46</f>
        <v>46325</v>
      </c>
      <c r="AQ46" s="24">
        <v>0.85</v>
      </c>
      <c r="AR46" s="117">
        <f>(AQ$12*AQ46)-(AR$63*AQ46)</f>
        <v>149.6</v>
      </c>
      <c r="AS46" s="18">
        <f>(1/AQ$49)*IF(AQ$11&lt;$M$45,$Q$45,$Q$46)*AQ46</f>
        <v>48833.35</v>
      </c>
      <c r="AT46" s="24">
        <v>0.85</v>
      </c>
      <c r="AU46" s="117">
        <f>(AT$12*AT46)-(AU$63*AT46)</f>
        <v>142.79999999999998</v>
      </c>
      <c r="AV46" s="18">
        <f>(1/AT$49)*IF(AT$11&lt;$M$45,$Q$45,$Q$46)*AT46</f>
        <v>48833.35</v>
      </c>
      <c r="AW46" s="24">
        <v>0.85</v>
      </c>
      <c r="AX46" s="117">
        <f>(AW$12*AW46)-(AX$63*AW46)</f>
        <v>149.6</v>
      </c>
      <c r="AY46" s="18">
        <f>(1/AW$49)*IF(AW$11&lt;$M$45,$Q$45,$Q$46)*AW46</f>
        <v>48833.35</v>
      </c>
      <c r="AZ46" s="24">
        <v>0.85</v>
      </c>
      <c r="BA46" s="117">
        <f>(AZ$12*AZ46)-(BA$63*AZ46)</f>
        <v>149.6</v>
      </c>
      <c r="BB46" s="18">
        <f>(1/AZ$49)*IF(AZ$11&lt;$M$45,$Q$45,$Q$46)*AZ46</f>
        <v>48833.35</v>
      </c>
      <c r="BC46" s="285">
        <f>SUM(U46,X46,AA46,AD46,AG46,AJ46,AM46,AP46,AS46,AV46,AY46,BB46)</f>
        <v>500533.39999999991</v>
      </c>
    </row>
    <row r="47" spans="1:56" ht="15" thickBot="1" x14ac:dyDescent="0.35">
      <c r="A47" s="537"/>
      <c r="B47" s="63" t="s">
        <v>9</v>
      </c>
      <c r="C47" s="217" t="s">
        <v>58</v>
      </c>
      <c r="D47" s="177"/>
      <c r="E47" s="11"/>
      <c r="F47" s="193" t="s">
        <v>50</v>
      </c>
      <c r="G47" s="10">
        <v>43891</v>
      </c>
      <c r="H47" s="222">
        <v>44742</v>
      </c>
      <c r="I47" s="222"/>
      <c r="J47" s="222"/>
      <c r="K47" s="19"/>
      <c r="L47" s="115"/>
      <c r="M47" s="114"/>
      <c r="N47" s="122"/>
      <c r="O47" s="114"/>
      <c r="P47" s="114"/>
      <c r="Q47" s="103"/>
      <c r="R47" s="125" t="s">
        <v>9</v>
      </c>
      <c r="S47" s="24">
        <v>0.2</v>
      </c>
      <c r="T47" s="117">
        <f>(S$12*S47)-(T$63*S47)</f>
        <v>33.6</v>
      </c>
      <c r="U47" s="18">
        <f>(1/S$49)*IF(S$11&lt;$M$45,$Q$45,$Q$46)*S47</f>
        <v>10899.999999999998</v>
      </c>
      <c r="V47" s="24">
        <v>0.2</v>
      </c>
      <c r="W47" s="117">
        <f>(V$12*V47)-(W$63*V47)</f>
        <v>32</v>
      </c>
      <c r="X47" s="18">
        <f>(1/V$49)*IF(V$11&lt;$M$45,$Q$45,$Q$46)*V47</f>
        <v>10899.999999999998</v>
      </c>
      <c r="Y47" s="24">
        <v>0.2</v>
      </c>
      <c r="Z47" s="117">
        <f>(Y$12*Y47)-(Z$63*Y47)</f>
        <v>36.800000000000004</v>
      </c>
      <c r="AA47" s="18">
        <f>(1/Y$49)*IF(Y$11&lt;$M$45,$Q$45,$Q$46)*Y47</f>
        <v>10899.999999999998</v>
      </c>
      <c r="AB47" s="24">
        <v>0.2</v>
      </c>
      <c r="AC47" s="117">
        <f>(AB$12*AB47)-(AC$63*AB47)</f>
        <v>33.6</v>
      </c>
      <c r="AD47" s="18">
        <f>(1/AB$49)*IF(AB$11&lt;$M$45,$Q$45,$Q$46)*AB47</f>
        <v>10899.999999999998</v>
      </c>
      <c r="AE47" s="24">
        <v>0.2</v>
      </c>
      <c r="AF47" s="117">
        <f>(AE$12*AE47)-(AF$63*AE47)</f>
        <v>35.200000000000003</v>
      </c>
      <c r="AG47" s="18">
        <f>(1/AE$49)*IF(AE$11&lt;$M$45,$Q$45,$Q$46)*AE47</f>
        <v>10899.999999999998</v>
      </c>
      <c r="AH47" s="24">
        <v>0.2</v>
      </c>
      <c r="AI47" s="117">
        <f>(AH$12*AH47)-(AI$63*AH47)</f>
        <v>35.200000000000003</v>
      </c>
      <c r="AJ47" s="18">
        <f>(1/AH$49)*IF(AH$11&lt;$M$45,$Q$45,$Q$46)*AH47</f>
        <v>10899.999999999998</v>
      </c>
      <c r="AK47" s="467"/>
      <c r="AL47" s="479"/>
      <c r="AM47" s="485"/>
      <c r="AN47" s="467"/>
      <c r="AO47" s="479"/>
      <c r="AP47" s="485"/>
      <c r="AQ47" s="467"/>
      <c r="AR47" s="479"/>
      <c r="AS47" s="485"/>
      <c r="AT47" s="467"/>
      <c r="AU47" s="479"/>
      <c r="AV47" s="485"/>
      <c r="AW47" s="467"/>
      <c r="AX47" s="479"/>
      <c r="AY47" s="485"/>
      <c r="AZ47" s="467"/>
      <c r="BA47" s="479"/>
      <c r="BB47" s="485"/>
      <c r="BC47" s="285">
        <f>SUM(U47,X47,AA47,AD47,AG47,AJ47,AM47,AP47,AS47,AV47,AY47,BB47)</f>
        <v>65399.999999999993</v>
      </c>
    </row>
    <row r="48" spans="1:56" ht="15" thickBot="1" x14ac:dyDescent="0.35">
      <c r="A48" s="537"/>
      <c r="B48" s="63" t="s">
        <v>32</v>
      </c>
      <c r="C48" s="217" t="s">
        <v>58</v>
      </c>
      <c r="D48" s="177"/>
      <c r="E48" s="11"/>
      <c r="F48" s="193" t="s">
        <v>50</v>
      </c>
      <c r="G48" s="10">
        <v>44197</v>
      </c>
      <c r="H48" s="225">
        <v>44926</v>
      </c>
      <c r="I48" s="225"/>
      <c r="J48" s="225"/>
      <c r="K48" s="19"/>
      <c r="L48" s="115"/>
      <c r="M48" s="114"/>
      <c r="N48" s="122"/>
      <c r="O48" s="114"/>
      <c r="P48" s="114"/>
      <c r="Q48" s="103"/>
      <c r="R48" s="125" t="s">
        <v>32</v>
      </c>
      <c r="S48" s="24">
        <v>0.1</v>
      </c>
      <c r="T48" s="117">
        <f>(S$12*S48)-(T$63*S48)</f>
        <v>16.8</v>
      </c>
      <c r="U48" s="18">
        <f>(1/S$49)*IF(S$11&lt;$M$45,$Q$45,$Q$46)*S48</f>
        <v>5449.9999999999991</v>
      </c>
      <c r="V48" s="24">
        <v>0.1</v>
      </c>
      <c r="W48" s="117">
        <f>(V$12*V48)-(W$63*V48)</f>
        <v>16</v>
      </c>
      <c r="X48" s="18">
        <f>(1/V$49)*IF(V$11&lt;$M$45,$Q$45,$Q$46)*V48</f>
        <v>5449.9999999999991</v>
      </c>
      <c r="Y48" s="24">
        <v>0.1</v>
      </c>
      <c r="Z48" s="117">
        <f>(Y$12*Y48)-(Z$63*Y48)</f>
        <v>18.400000000000002</v>
      </c>
      <c r="AA48" s="18">
        <f>(1/Y$49)*IF(Y$11&lt;$M$45,$Q$45,$Q$46)*Y48</f>
        <v>5449.9999999999991</v>
      </c>
      <c r="AB48" s="24">
        <v>0.1</v>
      </c>
      <c r="AC48" s="117">
        <f>(AB$12*AB48)-(AC$63*AB48)</f>
        <v>16.8</v>
      </c>
      <c r="AD48" s="18">
        <f>(1/AB$49)*IF(AB$11&lt;$M$45,$Q$45,$Q$46)*AB48</f>
        <v>5449.9999999999991</v>
      </c>
      <c r="AE48" s="24">
        <v>0.1</v>
      </c>
      <c r="AF48" s="117">
        <f>(AE$12*AE48)-(AF$63*AE48)</f>
        <v>17.600000000000001</v>
      </c>
      <c r="AG48" s="18">
        <f>(1/AE$49)*IF(AE$11&lt;$M$45,$Q$45,$Q$46)*AE48</f>
        <v>5449.9999999999991</v>
      </c>
      <c r="AH48" s="24">
        <v>0.1</v>
      </c>
      <c r="AI48" s="117">
        <f>(AH$12*AH48)-(AI$63*AH48)</f>
        <v>17.600000000000001</v>
      </c>
      <c r="AJ48" s="18">
        <f>(1/AH$49)*IF(AH$11&lt;$M$45,$Q$45,$Q$46)*AH48</f>
        <v>5449.9999999999991</v>
      </c>
      <c r="AK48" s="24">
        <v>0.1</v>
      </c>
      <c r="AL48" s="117">
        <f>(AK$12*AK48)-(AL$63*AK48)</f>
        <v>16.8</v>
      </c>
      <c r="AM48" s="18">
        <f>(1/AK$49)*IF(AK$11&lt;$M$45,$Q$45,$Q$46)*AK48</f>
        <v>5450</v>
      </c>
      <c r="AN48" s="24">
        <v>0.1</v>
      </c>
      <c r="AO48" s="117">
        <f>(AN$12*AN48)-(AO$63*AN48)</f>
        <v>18.400000000000002</v>
      </c>
      <c r="AP48" s="18">
        <f>(1/AN$49)*IF(AN$11&lt;$M$45,$Q$45,$Q$46)*AN48</f>
        <v>5450</v>
      </c>
      <c r="AQ48" s="24">
        <v>0.1</v>
      </c>
      <c r="AR48" s="117">
        <f>(AQ$12*AQ48)-(AR$63*AQ48)</f>
        <v>17.600000000000001</v>
      </c>
      <c r="AS48" s="18">
        <f>(1/AQ$49)*IF(AQ$11&lt;$M$45,$Q$45,$Q$46)*AQ48</f>
        <v>5745.1</v>
      </c>
      <c r="AT48" s="24">
        <v>0.1</v>
      </c>
      <c r="AU48" s="117">
        <f>(AT$12*AT48)-(AU$63*AT48)</f>
        <v>16.8</v>
      </c>
      <c r="AV48" s="18">
        <f>(1/AT$49)*IF(AT$11&lt;$M$45,$Q$45,$Q$46)*AT48</f>
        <v>5745.1</v>
      </c>
      <c r="AW48" s="24">
        <v>0.1</v>
      </c>
      <c r="AX48" s="117">
        <f>(AW$12*AW48)-(AX$63*AW48)</f>
        <v>17.600000000000001</v>
      </c>
      <c r="AY48" s="18">
        <f>(1/AW$49)*IF(AW$11&lt;$M$45,$Q$45,$Q$46)*AW48</f>
        <v>5745.1</v>
      </c>
      <c r="AZ48" s="480">
        <v>0.1</v>
      </c>
      <c r="BA48" s="490">
        <f>(AZ$12*AZ48)-(BA$63*AZ48)</f>
        <v>17.600000000000001</v>
      </c>
      <c r="BB48" s="491">
        <f>(1/AZ$49)*IF(AZ$11&lt;$M$45,$Q$45,$Q$46)*AZ48</f>
        <v>5745.1</v>
      </c>
      <c r="BC48" s="285">
        <f>SUM(U48,X48,AA48,AD48,AG48,AJ48,AM48,AP48,AS48,AV48,AY48,BB48)</f>
        <v>66580.399999999994</v>
      </c>
      <c r="BD48" t="s">
        <v>196</v>
      </c>
    </row>
    <row r="49" spans="1:56" ht="15" thickBot="1" x14ac:dyDescent="0.35">
      <c r="A49" s="537"/>
      <c r="B49" s="63" t="s">
        <v>36</v>
      </c>
      <c r="C49" s="219"/>
      <c r="D49" s="177"/>
      <c r="E49" s="11"/>
      <c r="F49" s="188"/>
      <c r="G49" s="10"/>
      <c r="H49" s="225"/>
      <c r="I49" s="225"/>
      <c r="J49" s="225"/>
      <c r="K49" s="19"/>
      <c r="L49" s="20"/>
      <c r="M49" s="1"/>
      <c r="N49" s="1"/>
      <c r="O49" s="1"/>
      <c r="P49" s="1"/>
      <c r="Q49" s="21"/>
      <c r="R49" s="121" t="s">
        <v>36</v>
      </c>
      <c r="S49" s="274">
        <f t="shared" ref="S49:BB49" si="81">SUM(S45:S48)</f>
        <v>1.0000000000000002</v>
      </c>
      <c r="T49" s="77">
        <f t="shared" si="81"/>
        <v>168.00000000000003</v>
      </c>
      <c r="U49" s="28">
        <f t="shared" si="81"/>
        <v>54499.999999999993</v>
      </c>
      <c r="V49" s="274">
        <f t="shared" si="81"/>
        <v>1.0000000000000002</v>
      </c>
      <c r="W49" s="77">
        <f t="shared" si="81"/>
        <v>160</v>
      </c>
      <c r="X49" s="28">
        <f t="shared" si="81"/>
        <v>54499.999999999993</v>
      </c>
      <c r="Y49" s="274">
        <f t="shared" si="81"/>
        <v>1.0000000000000002</v>
      </c>
      <c r="Z49" s="77">
        <f t="shared" si="81"/>
        <v>184.00000000000003</v>
      </c>
      <c r="AA49" s="28">
        <f t="shared" si="81"/>
        <v>54499.999999999993</v>
      </c>
      <c r="AB49" s="274">
        <f t="shared" si="81"/>
        <v>1.0000000000000002</v>
      </c>
      <c r="AC49" s="77">
        <f t="shared" si="81"/>
        <v>168.00000000000003</v>
      </c>
      <c r="AD49" s="28">
        <f t="shared" si="81"/>
        <v>54499.999999999993</v>
      </c>
      <c r="AE49" s="274">
        <f t="shared" si="81"/>
        <v>1.0000000000000002</v>
      </c>
      <c r="AF49" s="77">
        <f t="shared" si="81"/>
        <v>176</v>
      </c>
      <c r="AG49" s="28">
        <f t="shared" si="81"/>
        <v>54499.999999999993</v>
      </c>
      <c r="AH49" s="274">
        <f t="shared" si="81"/>
        <v>1.0000000000000002</v>
      </c>
      <c r="AI49" s="77">
        <f t="shared" si="81"/>
        <v>176</v>
      </c>
      <c r="AJ49" s="28">
        <f t="shared" si="81"/>
        <v>54499.999999999993</v>
      </c>
      <c r="AK49" s="274">
        <f t="shared" si="81"/>
        <v>1</v>
      </c>
      <c r="AL49" s="77">
        <f t="shared" si="81"/>
        <v>168</v>
      </c>
      <c r="AM49" s="28">
        <f t="shared" si="81"/>
        <v>54500</v>
      </c>
      <c r="AN49" s="274">
        <f t="shared" si="81"/>
        <v>1</v>
      </c>
      <c r="AO49" s="77">
        <f t="shared" si="81"/>
        <v>184</v>
      </c>
      <c r="AP49" s="28">
        <f t="shared" si="81"/>
        <v>54500</v>
      </c>
      <c r="AQ49" s="274">
        <f t="shared" si="81"/>
        <v>1</v>
      </c>
      <c r="AR49" s="77">
        <f t="shared" si="81"/>
        <v>176</v>
      </c>
      <c r="AS49" s="28">
        <f t="shared" si="81"/>
        <v>57451</v>
      </c>
      <c r="AT49" s="274">
        <f t="shared" si="81"/>
        <v>1</v>
      </c>
      <c r="AU49" s="77">
        <f t="shared" si="81"/>
        <v>168</v>
      </c>
      <c r="AV49" s="28">
        <f t="shared" si="81"/>
        <v>57451</v>
      </c>
      <c r="AW49" s="274">
        <f t="shared" si="81"/>
        <v>1</v>
      </c>
      <c r="AX49" s="77">
        <f t="shared" si="81"/>
        <v>176</v>
      </c>
      <c r="AY49" s="28">
        <f t="shared" si="81"/>
        <v>57451</v>
      </c>
      <c r="AZ49" s="274">
        <f t="shared" si="81"/>
        <v>1</v>
      </c>
      <c r="BA49" s="77">
        <f t="shared" si="81"/>
        <v>176</v>
      </c>
      <c r="BB49" s="28">
        <f t="shared" si="81"/>
        <v>57451</v>
      </c>
      <c r="BC49" s="285">
        <f>SUM(U49,X49,AA49,AD49,AG49,AJ49,AM49,AP49,AS49,AV49,AY49,BB49)</f>
        <v>665804</v>
      </c>
    </row>
    <row r="50" spans="1:56" ht="15" thickBot="1" x14ac:dyDescent="0.35">
      <c r="A50" s="538"/>
      <c r="B50" s="340" t="s">
        <v>27</v>
      </c>
      <c r="C50" s="164"/>
      <c r="D50" s="178"/>
      <c r="E50" s="74"/>
      <c r="F50" s="189"/>
      <c r="G50" s="75"/>
      <c r="H50" s="227"/>
      <c r="I50" s="227"/>
      <c r="J50" s="227"/>
      <c r="K50" s="76"/>
      <c r="L50" s="29"/>
      <c r="M50" s="7"/>
      <c r="N50" s="7"/>
      <c r="O50" s="7"/>
      <c r="P50" s="7"/>
      <c r="Q50" s="30"/>
      <c r="R50" s="341" t="s">
        <v>27</v>
      </c>
      <c r="S50" s="46"/>
      <c r="T50" s="47">
        <f>S50*8*S49</f>
        <v>0</v>
      </c>
      <c r="U50" s="48"/>
      <c r="V50" s="46"/>
      <c r="W50" s="47">
        <f>V50*8*V49</f>
        <v>0</v>
      </c>
      <c r="X50" s="48"/>
      <c r="Y50" s="46"/>
      <c r="Z50" s="47">
        <f>Y50*8*Y49</f>
        <v>0</v>
      </c>
      <c r="AA50" s="48"/>
      <c r="AB50" s="46"/>
      <c r="AC50" s="47">
        <f>AB50*8*AB49</f>
        <v>0</v>
      </c>
      <c r="AD50" s="48"/>
      <c r="AE50" s="46"/>
      <c r="AF50" s="47">
        <f>AE50*8*AE49</f>
        <v>0</v>
      </c>
      <c r="AG50" s="48"/>
      <c r="AH50" s="46"/>
      <c r="AI50" s="47">
        <f>AH50*8*AH49</f>
        <v>0</v>
      </c>
      <c r="AJ50" s="48"/>
      <c r="AK50" s="46"/>
      <c r="AL50" s="47">
        <f>AK50*8*AK49</f>
        <v>0</v>
      </c>
      <c r="AM50" s="48"/>
      <c r="AN50" s="46"/>
      <c r="AO50" s="47">
        <f>AN50*8*AN49</f>
        <v>0</v>
      </c>
      <c r="AP50" s="48"/>
      <c r="AQ50" s="46"/>
      <c r="AR50" s="47">
        <f>AQ50*8*AQ49</f>
        <v>0</v>
      </c>
      <c r="AS50" s="48"/>
      <c r="AT50" s="46"/>
      <c r="AU50" s="47">
        <f>AT50*8*AT49</f>
        <v>0</v>
      </c>
      <c r="AV50" s="48"/>
      <c r="AW50" s="46"/>
      <c r="AX50" s="47">
        <f>AW50*8*AW49</f>
        <v>0</v>
      </c>
      <c r="AY50" s="48"/>
      <c r="AZ50" s="46"/>
      <c r="BA50" s="47">
        <f>AZ50*8*AZ49</f>
        <v>0</v>
      </c>
      <c r="BB50" s="275"/>
      <c r="BC50" s="344">
        <f>25-(S50+V50+Y50+AB50+AE50+AH50+AK50+AN50+AQ50+AT50+AW50+AZ50)</f>
        <v>25</v>
      </c>
    </row>
    <row r="51" spans="1:56" ht="15" thickBot="1" x14ac:dyDescent="0.35">
      <c r="A51" s="139" t="s">
        <v>67</v>
      </c>
      <c r="B51" s="155"/>
      <c r="C51" s="154"/>
      <c r="D51" s="179">
        <v>1</v>
      </c>
      <c r="E51" s="116" t="s">
        <v>3</v>
      </c>
      <c r="F51" s="190" t="s">
        <v>50</v>
      </c>
      <c r="G51" s="140"/>
      <c r="H51" s="362"/>
      <c r="I51" s="362"/>
      <c r="J51" s="362"/>
      <c r="K51" s="141" t="s">
        <v>10</v>
      </c>
      <c r="L51" s="142"/>
      <c r="M51" s="143"/>
      <c r="N51" s="143"/>
      <c r="O51" s="144"/>
      <c r="P51" s="144"/>
      <c r="Q51" s="145"/>
      <c r="R51" s="155"/>
      <c r="S51" s="314"/>
      <c r="T51" s="315"/>
      <c r="U51" s="313"/>
      <c r="V51" s="116"/>
      <c r="W51" s="116"/>
      <c r="X51" s="86"/>
      <c r="Y51" s="116"/>
      <c r="Z51" s="116"/>
      <c r="AA51" s="276"/>
      <c r="AB51" s="307"/>
      <c r="AC51" s="116"/>
      <c r="AD51" s="116"/>
      <c r="AE51" s="276"/>
      <c r="AF51" s="116"/>
      <c r="AG51" s="116"/>
      <c r="AH51" s="116"/>
      <c r="AI51" s="116"/>
      <c r="AJ51" s="86"/>
      <c r="AK51" s="116"/>
      <c r="AL51" s="116"/>
      <c r="AM51" s="86"/>
      <c r="AN51" s="116"/>
      <c r="AO51" s="116"/>
      <c r="AP51" s="276"/>
      <c r="AQ51" s="307"/>
      <c r="AR51" s="116"/>
      <c r="AS51" s="276"/>
      <c r="AT51" s="307"/>
      <c r="AU51" s="116"/>
      <c r="AV51" s="86"/>
      <c r="AW51" s="306"/>
      <c r="AX51" s="116"/>
      <c r="AY51" s="86"/>
      <c r="AZ51" s="116"/>
      <c r="BA51" s="116"/>
      <c r="BB51" s="276"/>
      <c r="BC51" s="285">
        <f>SUM(U51,X51,AA51,AD51,AG51,AJ51,AM51,AP51,AS51,AV51,AY51,BB51)</f>
        <v>0</v>
      </c>
    </row>
    <row r="52" spans="1:56" ht="15" thickBot="1" x14ac:dyDescent="0.35">
      <c r="A52" s="574" t="s">
        <v>81</v>
      </c>
      <c r="B52" s="62" t="s">
        <v>7</v>
      </c>
      <c r="C52" s="220" t="s">
        <v>58</v>
      </c>
      <c r="D52" s="170">
        <v>0</v>
      </c>
      <c r="E52" s="366"/>
      <c r="F52" s="360" t="s">
        <v>50</v>
      </c>
      <c r="G52" s="323">
        <v>44197</v>
      </c>
      <c r="H52" s="367"/>
      <c r="I52" s="445"/>
      <c r="J52" s="445"/>
      <c r="K52" s="370"/>
      <c r="L52" s="110">
        <v>44409</v>
      </c>
      <c r="M52" s="10">
        <v>44773</v>
      </c>
      <c r="N52" s="376" t="s">
        <v>15</v>
      </c>
      <c r="O52" s="22">
        <f>2551+1276+21684</f>
        <v>25511</v>
      </c>
      <c r="P52" s="22">
        <f>600+300+5100</f>
        <v>6000</v>
      </c>
      <c r="Q52" s="137">
        <f>P52+O52</f>
        <v>31511</v>
      </c>
      <c r="R52" s="38" t="s">
        <v>7</v>
      </c>
      <c r="S52" s="377">
        <v>0.05</v>
      </c>
      <c r="T52" s="212">
        <f>(S$12*S52)-(T$63*S52)</f>
        <v>8.4</v>
      </c>
      <c r="U52" s="455">
        <f>(1/S$55)*IF(S$11&lt;$M$52,$Q$52,$Q$53)*S52</f>
        <v>1575.5500000000002</v>
      </c>
      <c r="V52" s="377">
        <v>0.05</v>
      </c>
      <c r="W52" s="212">
        <f>(V$12*V52)-(W$63*V52)</f>
        <v>8</v>
      </c>
      <c r="X52" s="455">
        <f>(1/V$55)*IF(V$11&lt;$M$52,$Q$52,$Q$53)*V52</f>
        <v>1575.5500000000002</v>
      </c>
      <c r="Y52" s="377">
        <v>0.05</v>
      </c>
      <c r="Z52" s="212">
        <f>(Y$12*Y52)-(Z$63*Y52)</f>
        <v>9.2000000000000011</v>
      </c>
      <c r="AA52" s="455">
        <f>(1/Y$55)*IF(Y$11&lt;$M$52,$Q$52,$Q$53)*Y52</f>
        <v>1575.5500000000002</v>
      </c>
      <c r="AB52" s="377">
        <v>0.05</v>
      </c>
      <c r="AC52" s="212">
        <f>(AB$12*AB52)-(AC$63*AB52)</f>
        <v>8.4</v>
      </c>
      <c r="AD52" s="455">
        <f>(1/AB$55)*IF(AB$11&lt;$M$52,$Q$52,$Q$53)*AB52</f>
        <v>1575.5500000000002</v>
      </c>
      <c r="AE52" s="377">
        <v>0.05</v>
      </c>
      <c r="AF52" s="212">
        <f>(AE$12*AE52)-(AF$63*AE52)</f>
        <v>8.8000000000000007</v>
      </c>
      <c r="AG52" s="455">
        <f>(1/AE$55)*IF(AE$11&lt;$M$52,$Q$52,$Q$53)*AE52</f>
        <v>1575.5500000000002</v>
      </c>
      <c r="AH52" s="377">
        <v>0.05</v>
      </c>
      <c r="AI52" s="212">
        <f>(AH$12*AH52)-(AI$63*AH52)</f>
        <v>8.8000000000000007</v>
      </c>
      <c r="AJ52" s="455">
        <f>(1/AH$55)*IF(AH$11&lt;$M$52,$Q$52,$Q$53)*AH52</f>
        <v>1575.5500000000002</v>
      </c>
      <c r="AK52" s="377">
        <v>0.05</v>
      </c>
      <c r="AL52" s="212">
        <f>(AK$12*AK52)-(AL$63*AK52)</f>
        <v>8.4</v>
      </c>
      <c r="AM52" s="455">
        <f>(1/AK$55)*IF(AK$11&lt;$M$52,$Q$52,$Q$53)*AK52</f>
        <v>1575.5500000000002</v>
      </c>
      <c r="AN52" s="377">
        <v>0.05</v>
      </c>
      <c r="AO52" s="212">
        <f>(AN$12*AN52)-(AO$63*AN52)</f>
        <v>9.2000000000000011</v>
      </c>
      <c r="AP52" s="455">
        <f>(1/AN$55)*IF(AN$11&lt;$M$52,$Q$52,$Q$53)*AN52</f>
        <v>1875.5500000000002</v>
      </c>
      <c r="AQ52" s="377">
        <v>0.05</v>
      </c>
      <c r="AR52" s="212">
        <f>(AQ$12*AQ52)-(AR$63*AQ52)</f>
        <v>8.8000000000000007</v>
      </c>
      <c r="AS52" s="455">
        <f>(1/AQ$55)*IF(AQ$11&lt;$M$53,$Q$53,$Q$54)*AQ52</f>
        <v>2003.5500000000002</v>
      </c>
      <c r="AT52" s="377">
        <v>0.05</v>
      </c>
      <c r="AU52" s="212">
        <f>(AT$12*AT52)-(AU$63*AT52)</f>
        <v>8.4</v>
      </c>
      <c r="AV52" s="455">
        <f>(1/AT$55)*IF(AT$11&lt;$M$53,$Q$53,$Q$54)*AT52</f>
        <v>2003.5500000000002</v>
      </c>
      <c r="AW52" s="377">
        <v>0.05</v>
      </c>
      <c r="AX52" s="212">
        <f t="shared" ref="AX52" si="82">(AW$12*AW52)-(AX$63*AW52)</f>
        <v>8.8000000000000007</v>
      </c>
      <c r="AY52" s="455">
        <f>(1/AW$55)*IF(AW$11&lt;$M$53,$Q$53,$Q$54)*AW52</f>
        <v>2003.5500000000002</v>
      </c>
      <c r="AZ52" s="377">
        <v>0.05</v>
      </c>
      <c r="BA52" s="212">
        <f t="shared" ref="BA52" si="83">(AZ$12*AZ52)-(BA$63*AZ52)</f>
        <v>8.8000000000000007</v>
      </c>
      <c r="BB52" s="455">
        <f>(1/AZ$55)*IF(AZ$11&lt;$M$53,$Q$53,$Q$54)*AZ52</f>
        <v>2003.5500000000002</v>
      </c>
      <c r="BC52" s="285">
        <f>SUM(U52,X52,AA52,AD52,AG52,AJ52,AM52,AP52,AS52,AV52,AY52,BB52)</f>
        <v>20918.599999999999</v>
      </c>
    </row>
    <row r="53" spans="1:56" ht="15" thickBot="1" x14ac:dyDescent="0.35">
      <c r="A53" s="572"/>
      <c r="B53" s="63" t="s">
        <v>29</v>
      </c>
      <c r="C53" s="217" t="s">
        <v>58</v>
      </c>
      <c r="D53" s="171"/>
      <c r="E53" s="364"/>
      <c r="F53" s="182" t="s">
        <v>50</v>
      </c>
      <c r="G53" s="5">
        <v>44197</v>
      </c>
      <c r="H53" s="5">
        <v>44926</v>
      </c>
      <c r="I53" s="222"/>
      <c r="J53" s="222"/>
      <c r="K53" s="371"/>
      <c r="L53" s="110">
        <v>44774</v>
      </c>
      <c r="M53" s="5">
        <v>44804</v>
      </c>
      <c r="N53" s="376" t="s">
        <v>15</v>
      </c>
      <c r="O53" s="22">
        <f>2551+1276+21684</f>
        <v>25511</v>
      </c>
      <c r="P53" s="22">
        <v>12000</v>
      </c>
      <c r="Q53" s="137">
        <f>P53+O53</f>
        <v>37511</v>
      </c>
      <c r="R53" s="39" t="s">
        <v>29</v>
      </c>
      <c r="S53" s="378">
        <v>0.85</v>
      </c>
      <c r="T53" s="117">
        <f>(S$12*S53)-(T$63*S53)</f>
        <v>142.79999999999998</v>
      </c>
      <c r="U53" s="456">
        <f>(1/S$55)*IF(S$11&lt;$M$52,$Q$52,$Q$53)*S53</f>
        <v>26784.35</v>
      </c>
      <c r="V53" s="378">
        <v>0.85</v>
      </c>
      <c r="W53" s="117">
        <f>(V$12*V53)-(W$63*V53)</f>
        <v>136</v>
      </c>
      <c r="X53" s="456">
        <f>(1/V$55)*IF(V$11&lt;$M$52,$Q$52,$Q$53)*V53</f>
        <v>26784.35</v>
      </c>
      <c r="Y53" s="378">
        <v>0.85</v>
      </c>
      <c r="Z53" s="117">
        <f>(Y$12*Y53)-(Z$63*Y53)</f>
        <v>156.4</v>
      </c>
      <c r="AA53" s="456">
        <f>(1/Y$55)*IF(Y$11&lt;$M$52,$Q$52,$Q$53)*Y53</f>
        <v>26784.35</v>
      </c>
      <c r="AB53" s="378">
        <v>0.85</v>
      </c>
      <c r="AC53" s="117">
        <f>(AB$12*AB53)-(AC$63*AB53)</f>
        <v>142.79999999999998</v>
      </c>
      <c r="AD53" s="456">
        <f>(1/AB$55)*IF(AB$11&lt;$M$52,$Q$52,$Q$53)*AB53</f>
        <v>26784.35</v>
      </c>
      <c r="AE53" s="378">
        <v>0.85</v>
      </c>
      <c r="AF53" s="117">
        <f>(AE$12*AE53)-(AF$63*AE53)</f>
        <v>149.6</v>
      </c>
      <c r="AG53" s="456">
        <f>(1/AE$55)*IF(AE$11&lt;$M$52,$Q$52,$Q$53)*AE53</f>
        <v>26784.35</v>
      </c>
      <c r="AH53" s="378">
        <v>0.85</v>
      </c>
      <c r="AI53" s="117">
        <f>(AH$12*AH53)-(AI$63*AH53)</f>
        <v>149.6</v>
      </c>
      <c r="AJ53" s="456">
        <f>(1/AH$55)*IF(AH$11&lt;$M$52,$Q$52,$Q$53)*AH53</f>
        <v>26784.35</v>
      </c>
      <c r="AK53" s="378">
        <v>0.85</v>
      </c>
      <c r="AL53" s="117">
        <f>(AK$12*AK53)-(AL$63*AK53)</f>
        <v>142.79999999999998</v>
      </c>
      <c r="AM53" s="456">
        <f>(1/AK$55)*IF(AK$11&lt;$M$52,$Q$52,$Q$53)*AK53</f>
        <v>26784.35</v>
      </c>
      <c r="AN53" s="378">
        <v>0.85</v>
      </c>
      <c r="AO53" s="117">
        <f>(AN$12*AN53)-(AO$63*AN53)</f>
        <v>156.4</v>
      </c>
      <c r="AP53" s="456">
        <f>(1/AN$55)*IF(AN$11&lt;$M$52,$Q$52,$Q$53)*AN53</f>
        <v>31884.35</v>
      </c>
      <c r="AQ53" s="378">
        <v>0.85</v>
      </c>
      <c r="AR53" s="117">
        <f>(AQ$12*AQ53)-(AR$63*AQ53)</f>
        <v>149.6</v>
      </c>
      <c r="AS53" s="456">
        <f>(1/AQ$55)*IF(AQ$11&lt;$M$53,$Q$53,$Q$54)*AQ53</f>
        <v>34060.35</v>
      </c>
      <c r="AT53" s="506">
        <v>0.95</v>
      </c>
      <c r="AU53" s="117">
        <f>(AT$12*AT53)-(AU$63*AT53)</f>
        <v>159.6</v>
      </c>
      <c r="AV53" s="456">
        <f t="shared" ref="AV53" si="84">(1/AT$55)*IF(AT$11&lt;$M$53,$Q$53,$Q$54)*AT53</f>
        <v>38067.449999999997</v>
      </c>
      <c r="AW53" s="378">
        <v>0.95</v>
      </c>
      <c r="AX53" s="117">
        <f t="shared" ref="AX53" si="85">(AW$12*AW53)-(AX$63*AW53)</f>
        <v>167.2</v>
      </c>
      <c r="AY53" s="456">
        <f>(1/AW$55)*IF(AW$11&lt;$M$53,$Q$53,$Q$54)*AW53</f>
        <v>38067.449999999997</v>
      </c>
      <c r="AZ53" s="492">
        <v>0.95</v>
      </c>
      <c r="BA53" s="490">
        <f t="shared" ref="BA53" si="86">(AZ$12*AZ53)-(BA$63*AZ53)</f>
        <v>167.2</v>
      </c>
      <c r="BB53" s="489">
        <f>(1/AZ$55)*IF(AZ$11&lt;$M$53,$Q$53,$Q$54)*AZ53</f>
        <v>38067.449999999997</v>
      </c>
      <c r="BC53" s="285">
        <f>SUM(U53,X53,AA53,AD53,AG53,AJ53,AM53,AP53,AS53,AV53,AY53,BB53)</f>
        <v>367637.50000000006</v>
      </c>
      <c r="BD53" t="s">
        <v>196</v>
      </c>
    </row>
    <row r="54" spans="1:56" ht="15" thickBot="1" x14ac:dyDescent="0.35">
      <c r="A54" s="572"/>
      <c r="B54" s="63" t="s">
        <v>30</v>
      </c>
      <c r="C54" s="217" t="s">
        <v>58</v>
      </c>
      <c r="D54" s="171"/>
      <c r="E54" s="364"/>
      <c r="F54" s="185" t="s">
        <v>50</v>
      </c>
      <c r="G54" s="10">
        <v>44197</v>
      </c>
      <c r="H54" s="5">
        <v>44834</v>
      </c>
      <c r="I54" s="222"/>
      <c r="J54" s="222"/>
      <c r="K54" s="371"/>
      <c r="L54" s="375">
        <v>44805</v>
      </c>
      <c r="M54" s="5">
        <v>44926</v>
      </c>
      <c r="N54" s="376" t="s">
        <v>15</v>
      </c>
      <c r="O54" s="22">
        <f>2807+23860+1404</f>
        <v>28071</v>
      </c>
      <c r="P54" s="22">
        <f>1200+10200+600</f>
        <v>12000</v>
      </c>
      <c r="Q54" s="137">
        <f>P54+O54</f>
        <v>40071</v>
      </c>
      <c r="R54" s="39" t="s">
        <v>30</v>
      </c>
      <c r="S54" s="378">
        <v>0.1</v>
      </c>
      <c r="T54" s="117">
        <f>(S$12*S54)-(T$63*S54)</f>
        <v>16.8</v>
      </c>
      <c r="U54" s="456">
        <f>(1/S$55)*IF(S$11&lt;$M$52,$Q$52,$Q$53)*S54</f>
        <v>3151.1000000000004</v>
      </c>
      <c r="V54" s="378">
        <v>0.1</v>
      </c>
      <c r="W54" s="117">
        <f>(V$12*V54)-(W$63*V54)</f>
        <v>16</v>
      </c>
      <c r="X54" s="456">
        <f>(1/V$55)*IF(V$11&lt;$M$52,$Q$52,$Q$53)*V54</f>
        <v>3151.1000000000004</v>
      </c>
      <c r="Y54" s="378">
        <v>0.1</v>
      </c>
      <c r="Z54" s="117">
        <f>(Y$12*Y54)-(Z$63*Y54)</f>
        <v>18.400000000000002</v>
      </c>
      <c r="AA54" s="456">
        <f>(1/Y$55)*IF(Y$11&lt;$M$52,$Q$52,$Q$53)*Y54</f>
        <v>3151.1000000000004</v>
      </c>
      <c r="AB54" s="378">
        <v>0.1</v>
      </c>
      <c r="AC54" s="117">
        <f>(AB$12*AB54)-(AC$63*AB54)</f>
        <v>16.8</v>
      </c>
      <c r="AD54" s="456">
        <f>(1/AB$55)*IF(AB$11&lt;$M$52,$Q$52,$Q$53)*AB54</f>
        <v>3151.1000000000004</v>
      </c>
      <c r="AE54" s="378">
        <v>0.1</v>
      </c>
      <c r="AF54" s="117">
        <f>(AE$12*AE54)-(AF$63*AE54)</f>
        <v>17.600000000000001</v>
      </c>
      <c r="AG54" s="456">
        <f>(1/AE$55)*IF(AE$11&lt;$M$52,$Q$52,$Q$53)*AE54</f>
        <v>3151.1000000000004</v>
      </c>
      <c r="AH54" s="378">
        <v>0.1</v>
      </c>
      <c r="AI54" s="117">
        <f>(AH$12*AH54)-(AI$63*AH54)</f>
        <v>17.600000000000001</v>
      </c>
      <c r="AJ54" s="456">
        <f>(1/AH$55)*IF(AH$11&lt;$M$52,$Q$52,$Q$53)*AH54</f>
        <v>3151.1000000000004</v>
      </c>
      <c r="AK54" s="378">
        <v>0.1</v>
      </c>
      <c r="AL54" s="117">
        <f>(AK$12*AK54)-(AL$63*AK54)</f>
        <v>16.8</v>
      </c>
      <c r="AM54" s="456">
        <f>(1/AK$55)*IF(AK$11&lt;$M$52,$Q$52,$Q$53)*AK54</f>
        <v>3151.1000000000004</v>
      </c>
      <c r="AN54" s="378">
        <v>0.1</v>
      </c>
      <c r="AO54" s="117">
        <f>(AN$12*AN54)-(AO$63*AN54)</f>
        <v>18.400000000000002</v>
      </c>
      <c r="AP54" s="456">
        <f>(1/AN$55)*IF(AN$11&lt;$M$52,$Q$52,$Q$53)*AN54</f>
        <v>3751.1000000000004</v>
      </c>
      <c r="AQ54" s="378">
        <v>0.1</v>
      </c>
      <c r="AR54" s="117">
        <f>(AQ$12*AQ54)-(AR$63*AQ54)</f>
        <v>17.600000000000001</v>
      </c>
      <c r="AS54" s="456">
        <f>(1/AQ$55)*IF(AQ$11&lt;$M$53,$Q$53,$Q$54)*AQ54</f>
        <v>4007.1000000000004</v>
      </c>
      <c r="AT54" s="483"/>
      <c r="AU54" s="479"/>
      <c r="AV54" s="484"/>
      <c r="AW54" s="483"/>
      <c r="AX54" s="479"/>
      <c r="AY54" s="484"/>
      <c r="AZ54" s="483"/>
      <c r="BA54" s="479"/>
      <c r="BB54" s="484"/>
      <c r="BC54" s="285">
        <f>SUM(U54,X54,AA54,AD54,AG54,AJ54,AM54,AP54,AS54,AV54,AY54,BB54)</f>
        <v>29815.9</v>
      </c>
    </row>
    <row r="55" spans="1:56" ht="15" thickBot="1" x14ac:dyDescent="0.35">
      <c r="A55" s="572"/>
      <c r="B55" s="63" t="s">
        <v>36</v>
      </c>
      <c r="C55" s="217"/>
      <c r="D55" s="171"/>
      <c r="E55" s="364"/>
      <c r="F55" s="182"/>
      <c r="G55" s="365"/>
      <c r="H55" s="365"/>
      <c r="I55" s="446"/>
      <c r="J55" s="446"/>
      <c r="K55" s="371"/>
      <c r="L55" s="20"/>
      <c r="M55" s="1"/>
      <c r="N55" s="1"/>
      <c r="O55" s="22"/>
      <c r="P55" s="22"/>
      <c r="Q55" s="126"/>
      <c r="R55" s="39" t="s">
        <v>36</v>
      </c>
      <c r="S55" s="274">
        <f>SUM(S51:S54)</f>
        <v>1</v>
      </c>
      <c r="T55" s="77">
        <f>SUM(T52:T54)</f>
        <v>168</v>
      </c>
      <c r="U55" s="28">
        <f>SUM(U51:U54)</f>
        <v>31511</v>
      </c>
      <c r="V55" s="274">
        <f>SUM(V51:V54)</f>
        <v>1</v>
      </c>
      <c r="W55" s="77">
        <f>SUM(W52:W54)</f>
        <v>160</v>
      </c>
      <c r="X55" s="28">
        <f>SUM(X51:X54)</f>
        <v>31511</v>
      </c>
      <c r="Y55" s="274">
        <f>SUM(Y51:Y54)</f>
        <v>1</v>
      </c>
      <c r="Z55" s="77">
        <f>SUM(Z52:Z54)</f>
        <v>184</v>
      </c>
      <c r="AA55" s="28">
        <f>SUM(AA51:AA54)</f>
        <v>31511</v>
      </c>
      <c r="AB55" s="274">
        <f>SUM(AB51:AB54)</f>
        <v>1</v>
      </c>
      <c r="AC55" s="77">
        <f>SUM(AC52:AC54)</f>
        <v>168</v>
      </c>
      <c r="AD55" s="28">
        <f>SUM(AD51:AD54)</f>
        <v>31511</v>
      </c>
      <c r="AE55" s="274">
        <f>SUM(AE51:AE54)</f>
        <v>1</v>
      </c>
      <c r="AF55" s="77">
        <f>SUM(AF52:AF54)</f>
        <v>176</v>
      </c>
      <c r="AG55" s="28">
        <f>SUM(AG51:AG54)</f>
        <v>31511</v>
      </c>
      <c r="AH55" s="274">
        <f>SUM(AH51:AH54)</f>
        <v>1</v>
      </c>
      <c r="AI55" s="77">
        <f>SUM(AI52:AI54)</f>
        <v>176</v>
      </c>
      <c r="AJ55" s="28">
        <f>SUM(AJ51:AJ54)</f>
        <v>31511</v>
      </c>
      <c r="AK55" s="274">
        <f>SUM(AK51:AK54)</f>
        <v>1</v>
      </c>
      <c r="AL55" s="77">
        <f>SUM(AL52:AL54)</f>
        <v>168</v>
      </c>
      <c r="AM55" s="28">
        <f>SUM(AM51:AM54)</f>
        <v>31511</v>
      </c>
      <c r="AN55" s="274">
        <f>SUM(AN51:AN54)</f>
        <v>1</v>
      </c>
      <c r="AO55" s="77">
        <f>SUM(AO52:AO54)</f>
        <v>184</v>
      </c>
      <c r="AP55" s="28">
        <f>SUM(AP51:AP54)</f>
        <v>37511</v>
      </c>
      <c r="AQ55" s="274">
        <f>SUM(AQ51:AQ54)</f>
        <v>1</v>
      </c>
      <c r="AR55" s="77">
        <f>SUM(AR52:AR54)</f>
        <v>176</v>
      </c>
      <c r="AS55" s="28">
        <f>SUM(AS51:AS54)</f>
        <v>40071</v>
      </c>
      <c r="AT55" s="274">
        <f>SUM(AT51:AT54)</f>
        <v>1</v>
      </c>
      <c r="AU55" s="77">
        <f>SUM(AU52:AU54)</f>
        <v>168</v>
      </c>
      <c r="AV55" s="28">
        <f>SUM(AV51:AV54)</f>
        <v>40071</v>
      </c>
      <c r="AW55" s="274">
        <f t="shared" ref="AW55" si="87">SUM(AW51:AW54)</f>
        <v>1</v>
      </c>
      <c r="AX55" s="77">
        <f t="shared" ref="AX55" si="88">SUM(AX52:AX54)</f>
        <v>176</v>
      </c>
      <c r="AY55" s="28">
        <f t="shared" ref="AY55:AZ55" si="89">SUM(AY51:AY54)</f>
        <v>40071</v>
      </c>
      <c r="AZ55" s="274">
        <f t="shared" si="89"/>
        <v>1</v>
      </c>
      <c r="BA55" s="77">
        <f t="shared" ref="BA55" si="90">SUM(BA52:BA54)</f>
        <v>176</v>
      </c>
      <c r="BB55" s="28">
        <f t="shared" ref="BB55" si="91">SUM(BB51:BB54)</f>
        <v>40071</v>
      </c>
      <c r="BC55" s="285">
        <f>SUM(U55,X55,AA55,AD55,AG55,AJ55,AM55,AP55,AS55,AV55,AY55,BB55)</f>
        <v>418372</v>
      </c>
    </row>
    <row r="56" spans="1:56" ht="15" thickBot="1" x14ac:dyDescent="0.35">
      <c r="A56" s="573"/>
      <c r="B56" s="339" t="s">
        <v>27</v>
      </c>
      <c r="C56" s="244"/>
      <c r="D56" s="173"/>
      <c r="E56" s="368"/>
      <c r="F56" s="184"/>
      <c r="G56" s="369"/>
      <c r="H56" s="369"/>
      <c r="I56" s="447"/>
      <c r="J56" s="447"/>
      <c r="K56" s="372"/>
      <c r="L56" s="29"/>
      <c r="M56" s="7"/>
      <c r="N56" s="7"/>
      <c r="O56" s="108"/>
      <c r="P56" s="108"/>
      <c r="Q56" s="127"/>
      <c r="R56" s="342" t="s">
        <v>27</v>
      </c>
      <c r="S56" s="25"/>
      <c r="T56" s="78">
        <f>S56*8*S55</f>
        <v>0</v>
      </c>
      <c r="U56" s="13"/>
      <c r="V56" s="25"/>
      <c r="W56" s="78">
        <f>V56*8*V55</f>
        <v>0</v>
      </c>
      <c r="X56" s="13"/>
      <c r="Y56" s="25"/>
      <c r="Z56" s="78">
        <f>Y56*8*Y55</f>
        <v>0</v>
      </c>
      <c r="AA56" s="13"/>
      <c r="AB56" s="25"/>
      <c r="AC56" s="78">
        <f>AB56*8*AB55</f>
        <v>0</v>
      </c>
      <c r="AD56" s="13"/>
      <c r="AE56" s="25"/>
      <c r="AF56" s="78">
        <f>AE56*8*AE55</f>
        <v>0</v>
      </c>
      <c r="AG56" s="13"/>
      <c r="AH56" s="25"/>
      <c r="AI56" s="78">
        <f>AH56*8*AH55</f>
        <v>0</v>
      </c>
      <c r="AJ56" s="13"/>
      <c r="AK56" s="25"/>
      <c r="AL56" s="78">
        <f>AK56*8*AK55</f>
        <v>0</v>
      </c>
      <c r="AM56" s="13"/>
      <c r="AN56" s="25"/>
      <c r="AO56" s="78">
        <f>AN56*8*AN55</f>
        <v>0</v>
      </c>
      <c r="AP56" s="13"/>
      <c r="AQ56" s="25"/>
      <c r="AR56" s="78">
        <f>AQ56*8*AQ55</f>
        <v>0</v>
      </c>
      <c r="AS56" s="13"/>
      <c r="AT56" s="25"/>
      <c r="AU56" s="78">
        <f>AT56*8*AT55</f>
        <v>0</v>
      </c>
      <c r="AV56" s="13"/>
      <c r="AW56" s="25"/>
      <c r="AX56" s="78">
        <f t="shared" ref="AX56" si="92">AW56*8*AW55</f>
        <v>0</v>
      </c>
      <c r="AY56" s="13"/>
      <c r="AZ56" s="25"/>
      <c r="BA56" s="78">
        <f t="shared" ref="BA56" si="93">AZ56*8*AZ55</f>
        <v>0</v>
      </c>
      <c r="BB56" s="13"/>
      <c r="BC56" s="344">
        <f>25-(S56+V56+Y56+AB56+AE56+AH56+AK56+AN56+AQ56+AT56+AW56+AZ56)</f>
        <v>25</v>
      </c>
    </row>
    <row r="57" spans="1:56" ht="15" thickBot="1" x14ac:dyDescent="0.35">
      <c r="A57" s="574" t="s">
        <v>68</v>
      </c>
      <c r="B57" s="62" t="s">
        <v>7</v>
      </c>
      <c r="C57" s="220" t="s">
        <v>58</v>
      </c>
      <c r="D57" s="170">
        <v>1</v>
      </c>
      <c r="E57" s="3" t="s">
        <v>1</v>
      </c>
      <c r="F57" s="191" t="s">
        <v>50</v>
      </c>
      <c r="G57" s="132">
        <v>43983</v>
      </c>
      <c r="H57" s="225"/>
      <c r="I57" s="225"/>
      <c r="J57" s="225"/>
      <c r="K57" s="138"/>
      <c r="L57" s="110">
        <v>44197</v>
      </c>
      <c r="M57" s="5">
        <v>44804</v>
      </c>
      <c r="N57" s="107" t="s">
        <v>16</v>
      </c>
      <c r="O57" s="98">
        <f>13205+1321+11885</f>
        <v>26411</v>
      </c>
      <c r="P57" s="22">
        <v>24000</v>
      </c>
      <c r="Q57" s="23">
        <f>P57+O57</f>
        <v>50411</v>
      </c>
      <c r="R57" s="62" t="s">
        <v>7</v>
      </c>
      <c r="S57" s="118">
        <v>0.05</v>
      </c>
      <c r="T57" s="212">
        <f>(S$12*S57)-(T$63*S57)</f>
        <v>8.4</v>
      </c>
      <c r="U57" s="458">
        <f>(1/S$62)*IF(S$11&lt;$M$57,$Q$57,$Q$58)*S57</f>
        <v>2520.5500000000002</v>
      </c>
      <c r="V57" s="118">
        <v>0.05</v>
      </c>
      <c r="W57" s="212">
        <f>(V$12*V57)-(W$63*V57)</f>
        <v>8</v>
      </c>
      <c r="X57" s="458">
        <f>(1/V$62)*IF(V$11&lt;$M$57,$Q$57,$Q$58)*V57</f>
        <v>2520.5500000000002</v>
      </c>
      <c r="Y57" s="118">
        <v>0.05</v>
      </c>
      <c r="Z57" s="212">
        <f>(Y$12*Y57)-(Z$63*Y57)</f>
        <v>9.2000000000000011</v>
      </c>
      <c r="AA57" s="458">
        <f>(1/Y$62)*IF(Y$11&lt;$M$57,$Q$57,$Q$58)*Y57</f>
        <v>2520.5500000000002</v>
      </c>
      <c r="AB57" s="118">
        <v>0.05</v>
      </c>
      <c r="AC57" s="212">
        <f>(AB$12*AB57)-(AC$63*AB57)</f>
        <v>8.4</v>
      </c>
      <c r="AD57" s="458">
        <f>(1/AB$62)*IF(AB$11&lt;$M$57,$Q$57,$Q$58)*AB57</f>
        <v>2520.5500000000002</v>
      </c>
      <c r="AE57" s="118">
        <v>0.05</v>
      </c>
      <c r="AF57" s="212">
        <f>(AE$12*AE57)-(AF$63*AE57)</f>
        <v>8.8000000000000007</v>
      </c>
      <c r="AG57" s="458">
        <f>(1/AE$62)*IF(AE$11&lt;$M$57,$Q$57,$Q$58)*AE57</f>
        <v>2520.5500000000002</v>
      </c>
      <c r="AH57" s="118">
        <v>0.05</v>
      </c>
      <c r="AI57" s="212">
        <f>(AH$12*AH57)-(AI$63*AH57)</f>
        <v>8.8000000000000007</v>
      </c>
      <c r="AJ57" s="458">
        <f>(1/AH$62)*IF(AH$11&lt;$M$57,$Q$57,$Q$58)*AH57</f>
        <v>2520.5500000000002</v>
      </c>
      <c r="AK57" s="118">
        <v>0.05</v>
      </c>
      <c r="AL57" s="212">
        <f>(AK$12*AK57)-(AL$63*AK57)</f>
        <v>8.4</v>
      </c>
      <c r="AM57" s="455">
        <f>(1/AK$62)*IF(AK$11&lt;$M$57,$Q$57,$Q$58)*AK57</f>
        <v>2520.5500000000002</v>
      </c>
      <c r="AN57" s="118">
        <v>0.05</v>
      </c>
      <c r="AO57" s="212">
        <f>(AN$12*AN57)-(AO$63*AN57)</f>
        <v>9.2000000000000011</v>
      </c>
      <c r="AP57" s="455">
        <f>(1/AN$62)*IF(AN$11&lt;$M$57,$Q$57,$Q$58)*AN57</f>
        <v>2520.5500000000002</v>
      </c>
      <c r="AQ57" s="118">
        <v>0.05</v>
      </c>
      <c r="AR57" s="212">
        <f>(AQ$12*AQ57)-(AR$63*AQ57)</f>
        <v>8.8000000000000007</v>
      </c>
      <c r="AS57" s="455">
        <f>(1/AQ$62)*IF(AQ$11&lt;$M$57,$Q$57,$Q$58)*AQ57</f>
        <v>2653</v>
      </c>
      <c r="AT57" s="118">
        <v>0.05</v>
      </c>
      <c r="AU57" s="212">
        <f>(AT$12*AT57)-(AU$63*AT57)</f>
        <v>8.4</v>
      </c>
      <c r="AV57" s="455">
        <f>(1/AT$62)*IF(AT$11&lt;$M$57,$Q$57,$Q$58)*AT57</f>
        <v>2653</v>
      </c>
      <c r="AW57" s="118">
        <v>0.05</v>
      </c>
      <c r="AX57" s="212">
        <f t="shared" ref="AX57" si="94">(AW$12*AW57)-(AX$63*AW57)</f>
        <v>8.8000000000000007</v>
      </c>
      <c r="AY57" s="455">
        <f>(1/AW$62)*IF(AW$11&lt;$M$57,$Q$57,$Q$58)*AW57</f>
        <v>2653</v>
      </c>
      <c r="AZ57" s="118">
        <v>0.05</v>
      </c>
      <c r="BA57" s="212">
        <f t="shared" ref="BA57" si="95">(AZ$12*AZ57)-(BA$63*AZ57)</f>
        <v>8.8000000000000007</v>
      </c>
      <c r="BB57" s="455">
        <f>(1/AZ$62)*IF(AZ$11&lt;$M$57,$Q$57,$Q$58)*AZ57</f>
        <v>2653</v>
      </c>
      <c r="BC57" s="285">
        <f t="shared" ref="BC57:BC62" si="96">SUM(U57,X57,AA57,AD57,AG57,AJ57,AM57,AP57,AS57,AV57,AY57,BB57)</f>
        <v>30776.399999999998</v>
      </c>
    </row>
    <row r="58" spans="1:56" ht="15" thickBot="1" x14ac:dyDescent="0.35">
      <c r="A58" s="572"/>
      <c r="B58" s="63" t="s">
        <v>6</v>
      </c>
      <c r="C58" s="217" t="s">
        <v>58</v>
      </c>
      <c r="D58" s="171"/>
      <c r="E58" s="4"/>
      <c r="F58" s="193" t="s">
        <v>50</v>
      </c>
      <c r="G58" s="10">
        <v>43831</v>
      </c>
      <c r="H58" s="225">
        <v>45230</v>
      </c>
      <c r="I58" s="225"/>
      <c r="J58" s="225"/>
      <c r="K58" s="18"/>
      <c r="L58" s="375">
        <v>44805</v>
      </c>
      <c r="M58" s="5">
        <v>44926</v>
      </c>
      <c r="N58" s="107" t="s">
        <v>16</v>
      </c>
      <c r="O58" s="22">
        <f>1453+2906+2906+21795</f>
        <v>29060</v>
      </c>
      <c r="P58" s="22">
        <f>1200+2400+2400+18000</f>
        <v>24000</v>
      </c>
      <c r="Q58" s="23">
        <f>P58+O58</f>
        <v>53060</v>
      </c>
      <c r="R58" s="63" t="s">
        <v>6</v>
      </c>
      <c r="S58" s="24">
        <v>0.1</v>
      </c>
      <c r="T58" s="117">
        <f>(S$12*S58)-(T$63*S58)</f>
        <v>16.8</v>
      </c>
      <c r="U58" s="458">
        <f>(1/S$62)*IF(S$11&lt;$M$57,$Q$57,$Q$58)*S58</f>
        <v>5041.1000000000004</v>
      </c>
      <c r="V58" s="24">
        <v>0.1</v>
      </c>
      <c r="W58" s="117">
        <f>(V$12*V58)-(W$63*V58)</f>
        <v>16</v>
      </c>
      <c r="X58" s="458">
        <f>(1/V$62)*IF(V$11&lt;$M$57,$Q$57,$Q$58)*V58</f>
        <v>5041.1000000000004</v>
      </c>
      <c r="Y58" s="24">
        <v>0.1</v>
      </c>
      <c r="Z58" s="117">
        <f>(Y$12*Y58)-(Z$63*Y58)</f>
        <v>18.400000000000002</v>
      </c>
      <c r="AA58" s="458">
        <f>(1/Y$62)*IF(Y$11&lt;$M$57,$Q$57,$Q$58)*Y58</f>
        <v>5041.1000000000004</v>
      </c>
      <c r="AB58" s="24">
        <v>0.1</v>
      </c>
      <c r="AC58" s="117">
        <f>(AB$12*AB58)-(AC$63*AB58)</f>
        <v>16.8</v>
      </c>
      <c r="AD58" s="458">
        <f>(1/AB$62)*IF(AB$11&lt;$M$57,$Q$57,$Q$58)*AB58</f>
        <v>5041.1000000000004</v>
      </c>
      <c r="AE58" s="24">
        <v>0.1</v>
      </c>
      <c r="AF58" s="117">
        <f>(AE$12*AE58)-(AF$63*AE58)</f>
        <v>17.600000000000001</v>
      </c>
      <c r="AG58" s="458">
        <f>(1/AE$62)*IF(AE$11&lt;$M$57,$Q$57,$Q$58)*AE58</f>
        <v>5041.1000000000004</v>
      </c>
      <c r="AH58" s="24">
        <v>0.1</v>
      </c>
      <c r="AI58" s="117">
        <f>(AH$12*AH58)-(AI$63*AH58)</f>
        <v>17.600000000000001</v>
      </c>
      <c r="AJ58" s="458">
        <f>(1/AH$62)*IF(AH$11&lt;$M$57,$Q$57,$Q$58)*AH58</f>
        <v>5041.1000000000004</v>
      </c>
      <c r="AK58" s="24">
        <v>0.1</v>
      </c>
      <c r="AL58" s="117">
        <f>(AK$12*AK58)-(AL$63*AK58)</f>
        <v>16.8</v>
      </c>
      <c r="AM58" s="456">
        <f>(1/AK$62)*IF(AK$11&lt;$M$57,$Q$57,$Q$58)*AK58</f>
        <v>5041.1000000000004</v>
      </c>
      <c r="AN58" s="24">
        <v>0.1</v>
      </c>
      <c r="AO58" s="117">
        <f>(AN$12*AN58)-(AO$63*AN58)</f>
        <v>18.400000000000002</v>
      </c>
      <c r="AP58" s="456">
        <f>(1/AN$62)*IF(AN$11&lt;$M$57,$Q$57,$Q$58)*AN58</f>
        <v>5041.1000000000004</v>
      </c>
      <c r="AQ58" s="24">
        <v>0.1</v>
      </c>
      <c r="AR58" s="117">
        <f>(AQ$12*AQ58)-(AR$63*AQ58)</f>
        <v>17.600000000000001</v>
      </c>
      <c r="AS58" s="456">
        <f>(1/AQ$62)*IF(AQ$11&lt;$M$57,$Q$57,$Q$58)*AQ58</f>
        <v>5306</v>
      </c>
      <c r="AT58" s="450">
        <v>0.85</v>
      </c>
      <c r="AU58" s="117">
        <f>(AT$12*AT58)-(AU$63*AT58)</f>
        <v>142.79999999999998</v>
      </c>
      <c r="AV58" s="456">
        <f>(1/AT$62)*IF(AT$11&lt;$M$57,$Q$57,$Q$58)*AT58</f>
        <v>45101</v>
      </c>
      <c r="AW58" s="24">
        <v>0.85</v>
      </c>
      <c r="AX58" s="117">
        <f t="shared" ref="AX58" si="97">(AW$12*AW58)-(AX$63*AW58)</f>
        <v>149.6</v>
      </c>
      <c r="AY58" s="456">
        <f>(1/AW$62)*IF(AW$11&lt;$M$57,$Q$57,$Q$58)*AW58</f>
        <v>45101</v>
      </c>
      <c r="AZ58" s="24">
        <v>0.85</v>
      </c>
      <c r="BA58" s="117">
        <f t="shared" ref="BA58" si="98">(AZ$12*AZ58)-(BA$63*AZ58)</f>
        <v>149.6</v>
      </c>
      <c r="BB58" s="456">
        <f>(1/AZ$62)*IF(AZ$11&lt;$M$57,$Q$57,$Q$58)*AZ58</f>
        <v>45101</v>
      </c>
      <c r="BC58" s="285">
        <f t="shared" si="96"/>
        <v>180937.8</v>
      </c>
    </row>
    <row r="59" spans="1:56" ht="15" thickBot="1" x14ac:dyDescent="0.35">
      <c r="A59" s="572"/>
      <c r="B59" s="63" t="s">
        <v>9</v>
      </c>
      <c r="C59" s="217" t="s">
        <v>58</v>
      </c>
      <c r="D59" s="171"/>
      <c r="E59" s="4"/>
      <c r="F59" s="193" t="s">
        <v>50</v>
      </c>
      <c r="G59" s="10">
        <v>43831</v>
      </c>
      <c r="H59" s="222">
        <v>44742</v>
      </c>
      <c r="I59" s="222"/>
      <c r="J59" s="222"/>
      <c r="K59" s="18"/>
      <c r="L59" s="20"/>
      <c r="M59" s="22"/>
      <c r="N59" s="107"/>
      <c r="O59" s="22"/>
      <c r="P59" s="22"/>
      <c r="Q59" s="23"/>
      <c r="R59" s="63" t="s">
        <v>9</v>
      </c>
      <c r="S59" s="24">
        <v>0.1</v>
      </c>
      <c r="T59" s="117">
        <f>(S$12*S59)-(T$63*S59)</f>
        <v>16.8</v>
      </c>
      <c r="U59" s="458">
        <f>(1/S$62)*IF(S$11&lt;$M$57,$Q$57,$Q$58)*S59</f>
        <v>5041.1000000000004</v>
      </c>
      <c r="V59" s="24">
        <v>0.1</v>
      </c>
      <c r="W59" s="117">
        <f>(V$12*V59)-(W$63*V59)</f>
        <v>16</v>
      </c>
      <c r="X59" s="458">
        <f>(1/V$62)*IF(V$11&lt;$M$57,$Q$57,$Q$58)*V59</f>
        <v>5041.1000000000004</v>
      </c>
      <c r="Y59" s="24">
        <v>0.1</v>
      </c>
      <c r="Z59" s="117">
        <f>(Y$12*Y59)-(Z$63*Y59)</f>
        <v>18.400000000000002</v>
      </c>
      <c r="AA59" s="458">
        <f>(1/Y$62)*IF(Y$11&lt;$M$57,$Q$57,$Q$58)*Y59</f>
        <v>5041.1000000000004</v>
      </c>
      <c r="AB59" s="24">
        <v>0.1</v>
      </c>
      <c r="AC59" s="117">
        <f>(AB$12*AB59)-(AC$63*AB59)</f>
        <v>16.8</v>
      </c>
      <c r="AD59" s="458">
        <f>(1/AB$62)*IF(AB$11&lt;$M$57,$Q$57,$Q$58)*AB59</f>
        <v>5041.1000000000004</v>
      </c>
      <c r="AE59" s="24">
        <v>0.1</v>
      </c>
      <c r="AF59" s="117">
        <f>(AE$12*AE59)-(AF$63*AE59)</f>
        <v>17.600000000000001</v>
      </c>
      <c r="AG59" s="458">
        <f>(1/AE$62)*IF(AE$11&lt;$M$57,$Q$57,$Q$58)*AE59</f>
        <v>5041.1000000000004</v>
      </c>
      <c r="AH59" s="24">
        <v>0.1</v>
      </c>
      <c r="AI59" s="117">
        <f>(AH$12*AH59)-(AI$63*AH59)</f>
        <v>17.600000000000001</v>
      </c>
      <c r="AJ59" s="458">
        <f>(1/AH$62)*IF(AH$11&lt;$M$57,$Q$57,$Q$58)*AH59</f>
        <v>5041.1000000000004</v>
      </c>
      <c r="AK59" s="467"/>
      <c r="AL59" s="479"/>
      <c r="AM59" s="469"/>
      <c r="AN59" s="467"/>
      <c r="AO59" s="479"/>
      <c r="AP59" s="469"/>
      <c r="AQ59" s="467"/>
      <c r="AR59" s="479"/>
      <c r="AS59" s="469"/>
      <c r="AT59" s="467"/>
      <c r="AU59" s="479"/>
      <c r="AV59" s="469"/>
      <c r="AW59" s="467"/>
      <c r="AX59" s="479"/>
      <c r="AY59" s="469"/>
      <c r="AZ59" s="467"/>
      <c r="BA59" s="479"/>
      <c r="BB59" s="469"/>
      <c r="BC59" s="285">
        <f t="shared" si="96"/>
        <v>30246.6</v>
      </c>
    </row>
    <row r="60" spans="1:56" ht="15" thickBot="1" x14ac:dyDescent="0.35">
      <c r="A60" s="572"/>
      <c r="B60" s="63" t="s">
        <v>32</v>
      </c>
      <c r="C60" s="217" t="s">
        <v>58</v>
      </c>
      <c r="D60" s="171"/>
      <c r="E60" s="4"/>
      <c r="F60" s="193" t="s">
        <v>50</v>
      </c>
      <c r="G60" s="10">
        <v>43831</v>
      </c>
      <c r="H60" s="225">
        <v>44926</v>
      </c>
      <c r="I60" s="225"/>
      <c r="J60" s="225"/>
      <c r="K60" s="18"/>
      <c r="L60" s="20"/>
      <c r="M60" s="22"/>
      <c r="N60" s="107"/>
      <c r="O60" s="22"/>
      <c r="P60" s="22"/>
      <c r="Q60" s="23"/>
      <c r="R60" s="63" t="s">
        <v>32</v>
      </c>
      <c r="S60" s="24">
        <v>0.1</v>
      </c>
      <c r="T60" s="117">
        <f>(S$12*S60)-(T$63*S60)</f>
        <v>16.8</v>
      </c>
      <c r="U60" s="458">
        <f>(1/S$62)*IF(S$11&lt;$M$57,$Q$57,$Q$58)*S60</f>
        <v>5041.1000000000004</v>
      </c>
      <c r="V60" s="24">
        <v>0.1</v>
      </c>
      <c r="W60" s="117">
        <f>(V$12*V60)-(W$63*V60)</f>
        <v>16</v>
      </c>
      <c r="X60" s="458">
        <f>(1/V$62)*IF(V$11&lt;$M$57,$Q$57,$Q$58)*V60</f>
        <v>5041.1000000000004</v>
      </c>
      <c r="Y60" s="24">
        <v>0.1</v>
      </c>
      <c r="Z60" s="117">
        <f>(Y$12*Y60)-(Z$63*Y60)</f>
        <v>18.400000000000002</v>
      </c>
      <c r="AA60" s="458">
        <f>(1/Y$62)*IF(Y$11&lt;$M$57,$Q$57,$Q$58)*Y60</f>
        <v>5041.1000000000004</v>
      </c>
      <c r="AB60" s="24">
        <v>0.1</v>
      </c>
      <c r="AC60" s="117">
        <f>(AB$12*AB60)-(AC$63*AB60)</f>
        <v>16.8</v>
      </c>
      <c r="AD60" s="458">
        <f>(1/AB$62)*IF(AB$11&lt;$M$57,$Q$57,$Q$58)*AB60</f>
        <v>5041.1000000000004</v>
      </c>
      <c r="AE60" s="24">
        <v>0.1</v>
      </c>
      <c r="AF60" s="117">
        <f>(AE$12*AE60)-(AF$63*AE60)</f>
        <v>17.600000000000001</v>
      </c>
      <c r="AG60" s="458">
        <f>(1/AE$62)*IF(AE$11&lt;$M$57,$Q$57,$Q$58)*AE60</f>
        <v>5041.1000000000004</v>
      </c>
      <c r="AH60" s="24">
        <v>0.1</v>
      </c>
      <c r="AI60" s="117">
        <f>(AH$12*AH60)-(AI$63*AH60)</f>
        <v>17.600000000000001</v>
      </c>
      <c r="AJ60" s="458">
        <f>(1/AH$62)*IF(AH$11&lt;$M$57,$Q$57,$Q$58)*AH60</f>
        <v>5041.1000000000004</v>
      </c>
      <c r="AK60" s="24">
        <v>0.1</v>
      </c>
      <c r="AL60" s="117">
        <f>(AK$12*AK60)-(AL$63*AK60)</f>
        <v>16.8</v>
      </c>
      <c r="AM60" s="456">
        <f>(1/AK$62)*IF(AK$11&lt;$M$57,$Q$57,$Q$58)*AK60</f>
        <v>5041.1000000000004</v>
      </c>
      <c r="AN60" s="24">
        <v>0.1</v>
      </c>
      <c r="AO60" s="117">
        <f>(AN$12*AN60)-(AO$63*AN60)</f>
        <v>18.400000000000002</v>
      </c>
      <c r="AP60" s="456">
        <f>(1/AN$62)*IF(AN$11&lt;$M$57,$Q$57,$Q$58)*AN60</f>
        <v>5041.1000000000004</v>
      </c>
      <c r="AQ60" s="24">
        <v>0.1</v>
      </c>
      <c r="AR60" s="117">
        <f>(AQ$12*AQ60)-(AR$63*AQ60)</f>
        <v>17.600000000000001</v>
      </c>
      <c r="AS60" s="456">
        <f>(1/AQ$62)*IF(AQ$11&lt;$M$57,$Q$57,$Q$58)*AQ60</f>
        <v>5306</v>
      </c>
      <c r="AT60" s="24">
        <v>0.1</v>
      </c>
      <c r="AU60" s="117">
        <f>(AT$12*AT60)-(AU$63*AT60)</f>
        <v>16.8</v>
      </c>
      <c r="AV60" s="456">
        <f>(1/AT$62)*IF(AT$11&lt;$M$57,$Q$57,$Q$58)*AT60</f>
        <v>5306</v>
      </c>
      <c r="AW60" s="24">
        <v>0.1</v>
      </c>
      <c r="AX60" s="117">
        <f t="shared" ref="AX60" si="99">(AW$12*AW60)-(AX$63*AW60)</f>
        <v>17.600000000000001</v>
      </c>
      <c r="AY60" s="456">
        <f t="shared" ref="AY60" si="100">(1/AW$62)*IF(AW$11&lt;$M$57,$Q$57,$Q$58)*AW60</f>
        <v>5306</v>
      </c>
      <c r="AZ60" s="480">
        <v>0.1</v>
      </c>
      <c r="BA60" s="490">
        <f t="shared" ref="BA60" si="101">(AZ$12*AZ60)-(BA$63*AZ60)</f>
        <v>17.600000000000001</v>
      </c>
      <c r="BB60" s="489">
        <f t="shared" ref="BB60" si="102">(1/AZ$62)*IF(AZ$11&lt;$M$57,$Q$57,$Q$58)*AZ60</f>
        <v>5306</v>
      </c>
      <c r="BC60" s="285">
        <f t="shared" si="96"/>
        <v>61552.799999999996</v>
      </c>
      <c r="BD60" t="s">
        <v>196</v>
      </c>
    </row>
    <row r="61" spans="1:56" ht="15" thickBot="1" x14ac:dyDescent="0.35">
      <c r="A61" s="572"/>
      <c r="B61" s="63" t="s">
        <v>30</v>
      </c>
      <c r="C61" s="217" t="s">
        <v>58</v>
      </c>
      <c r="D61" s="171"/>
      <c r="E61" s="4"/>
      <c r="F61" s="193" t="s">
        <v>50</v>
      </c>
      <c r="G61" s="5">
        <v>43831</v>
      </c>
      <c r="H61" s="168">
        <v>44834</v>
      </c>
      <c r="I61" s="5"/>
      <c r="J61" s="5"/>
      <c r="K61" s="18"/>
      <c r="L61" s="20"/>
      <c r="M61" s="22"/>
      <c r="N61" s="109"/>
      <c r="O61" s="22"/>
      <c r="P61" s="22"/>
      <c r="Q61" s="23"/>
      <c r="R61" s="63" t="s">
        <v>30</v>
      </c>
      <c r="S61" s="312">
        <v>0.65</v>
      </c>
      <c r="T61" s="117">
        <f>(S$12*S61)-(T$63*S61)</f>
        <v>109.2</v>
      </c>
      <c r="U61" s="458">
        <f>(1/S$62)*IF(S$11&lt;$M$57,$Q$57,$Q$58)*S61</f>
        <v>32767.15</v>
      </c>
      <c r="V61" s="312">
        <v>0.65</v>
      </c>
      <c r="W61" s="117">
        <f>(V$12*V61)-(W$63*V61)</f>
        <v>104</v>
      </c>
      <c r="X61" s="458">
        <f>(1/V$62)*IF(V$11&lt;$M$57,$Q$57,$Q$58)*V61</f>
        <v>32767.15</v>
      </c>
      <c r="Y61" s="312">
        <v>0.65</v>
      </c>
      <c r="Z61" s="117">
        <f>(Y$12*Y61)-(Z$63*Y61)</f>
        <v>119.60000000000001</v>
      </c>
      <c r="AA61" s="458">
        <f>(1/Y$62)*IF(Y$11&lt;$M$57,$Q$57,$Q$58)*Y61</f>
        <v>32767.15</v>
      </c>
      <c r="AB61" s="312">
        <v>0.65</v>
      </c>
      <c r="AC61" s="117">
        <f>(AB$12*AB61)-(AC$63*AB61)</f>
        <v>109.2</v>
      </c>
      <c r="AD61" s="458">
        <f>(1/AB$62)*IF(AB$11&lt;$M$57,$Q$57,$Q$58)*AB61</f>
        <v>32767.15</v>
      </c>
      <c r="AE61" s="312">
        <v>0.65</v>
      </c>
      <c r="AF61" s="117">
        <f>(AE$12*AE61)-(AF$63*AE61)</f>
        <v>114.4</v>
      </c>
      <c r="AG61" s="458">
        <f>(1/AE$62)*IF(AE$11&lt;$M$57,$Q$57,$Q$58)*AE61</f>
        <v>32767.15</v>
      </c>
      <c r="AH61" s="312">
        <v>0.65</v>
      </c>
      <c r="AI61" s="117">
        <f>(AH$12*AH61)-(AI$63*AH61)</f>
        <v>114.4</v>
      </c>
      <c r="AJ61" s="458">
        <f>(1/AH$62)*IF(AH$11&lt;$M$57,$Q$57,$Q$58)*AH61</f>
        <v>32767.15</v>
      </c>
      <c r="AK61" s="474">
        <v>0.75</v>
      </c>
      <c r="AL61" s="117">
        <f>(AK$12*AK61)-(AL$63*AK61)</f>
        <v>126</v>
      </c>
      <c r="AM61" s="456">
        <f>(1/AK$62)*IF(AK$11&lt;$M$57,$Q$57,$Q$58)*AK61</f>
        <v>37808.25</v>
      </c>
      <c r="AN61" s="312">
        <v>0.75</v>
      </c>
      <c r="AO61" s="117">
        <f>(AN$12*AN61)-(AO$63*AN61)</f>
        <v>138</v>
      </c>
      <c r="AP61" s="456">
        <f>(1/AN$62)*IF(AN$11&lt;$M$57,$Q$57,$Q$58)*AN61</f>
        <v>37808.25</v>
      </c>
      <c r="AQ61" s="312">
        <v>0.75</v>
      </c>
      <c r="AR61" s="117">
        <f>(AQ$12*AQ61)-(AR$63*AQ61)</f>
        <v>132</v>
      </c>
      <c r="AS61" s="456">
        <f>(1/AQ$62)*IF(AQ$11&lt;$M$57,$Q$57,$Q$58)*AQ61</f>
        <v>39795</v>
      </c>
      <c r="AT61" s="467"/>
      <c r="AU61" s="479"/>
      <c r="AV61" s="469"/>
      <c r="AW61" s="467"/>
      <c r="AX61" s="479"/>
      <c r="AY61" s="469"/>
      <c r="AZ61" s="467"/>
      <c r="BA61" s="479"/>
      <c r="BB61" s="469"/>
      <c r="BC61" s="285">
        <f t="shared" si="96"/>
        <v>312014.40000000002</v>
      </c>
    </row>
    <row r="62" spans="1:56" ht="15" thickBot="1" x14ac:dyDescent="0.35">
      <c r="A62" s="572"/>
      <c r="B62" s="63" t="s">
        <v>36</v>
      </c>
      <c r="C62" s="197"/>
      <c r="D62" s="172"/>
      <c r="E62" s="69"/>
      <c r="F62" s="192"/>
      <c r="G62" s="84"/>
      <c r="H62" s="223"/>
      <c r="I62" s="223"/>
      <c r="J62" s="223"/>
      <c r="K62" s="85"/>
      <c r="L62" s="97"/>
      <c r="M62" s="98"/>
      <c r="N62" s="112"/>
      <c r="O62" s="98"/>
      <c r="P62" s="98"/>
      <c r="Q62" s="137"/>
      <c r="R62" s="63" t="s">
        <v>36</v>
      </c>
      <c r="S62" s="277">
        <f t="shared" ref="S62:AV62" si="103">SUM(S57:S61)</f>
        <v>1</v>
      </c>
      <c r="T62" s="79">
        <f t="shared" si="103"/>
        <v>168</v>
      </c>
      <c r="U62" s="13">
        <f t="shared" si="103"/>
        <v>50411</v>
      </c>
      <c r="V62" s="277">
        <f t="shared" si="103"/>
        <v>1</v>
      </c>
      <c r="W62" s="79">
        <f t="shared" si="103"/>
        <v>160</v>
      </c>
      <c r="X62" s="13">
        <f t="shared" si="103"/>
        <v>50411</v>
      </c>
      <c r="Y62" s="277">
        <f t="shared" si="103"/>
        <v>1</v>
      </c>
      <c r="Z62" s="79">
        <f t="shared" si="103"/>
        <v>184</v>
      </c>
      <c r="AA62" s="13">
        <f t="shared" si="103"/>
        <v>50411</v>
      </c>
      <c r="AB62" s="277">
        <f t="shared" si="103"/>
        <v>1</v>
      </c>
      <c r="AC62" s="79">
        <f t="shared" si="103"/>
        <v>168</v>
      </c>
      <c r="AD62" s="13">
        <f t="shared" si="103"/>
        <v>50411</v>
      </c>
      <c r="AE62" s="277">
        <f t="shared" si="103"/>
        <v>1</v>
      </c>
      <c r="AF62" s="79">
        <f t="shared" si="103"/>
        <v>176</v>
      </c>
      <c r="AG62" s="13">
        <f t="shared" si="103"/>
        <v>50411</v>
      </c>
      <c r="AH62" s="277">
        <f t="shared" si="103"/>
        <v>1</v>
      </c>
      <c r="AI62" s="79">
        <f t="shared" si="103"/>
        <v>176</v>
      </c>
      <c r="AJ62" s="13">
        <f t="shared" si="103"/>
        <v>50411</v>
      </c>
      <c r="AK62" s="277">
        <f t="shared" si="103"/>
        <v>1</v>
      </c>
      <c r="AL62" s="79">
        <f t="shared" si="103"/>
        <v>168</v>
      </c>
      <c r="AM62" s="13">
        <f t="shared" si="103"/>
        <v>50411</v>
      </c>
      <c r="AN62" s="277">
        <f t="shared" si="103"/>
        <v>1</v>
      </c>
      <c r="AO62" s="79">
        <f t="shared" si="103"/>
        <v>184</v>
      </c>
      <c r="AP62" s="13">
        <f t="shared" si="103"/>
        <v>50411</v>
      </c>
      <c r="AQ62" s="277">
        <f t="shared" si="103"/>
        <v>1</v>
      </c>
      <c r="AR62" s="79">
        <f t="shared" si="103"/>
        <v>176</v>
      </c>
      <c r="AS62" s="13">
        <f t="shared" si="103"/>
        <v>53060</v>
      </c>
      <c r="AT62" s="277">
        <f t="shared" si="103"/>
        <v>1</v>
      </c>
      <c r="AU62" s="79">
        <f t="shared" si="103"/>
        <v>168</v>
      </c>
      <c r="AV62" s="13">
        <f t="shared" si="103"/>
        <v>53060</v>
      </c>
      <c r="AW62" s="277">
        <f t="shared" ref="AW62:BB62" si="104">SUM(AW57:AW61)</f>
        <v>1</v>
      </c>
      <c r="AX62" s="79">
        <f t="shared" si="104"/>
        <v>176</v>
      </c>
      <c r="AY62" s="13">
        <f t="shared" si="104"/>
        <v>53060</v>
      </c>
      <c r="AZ62" s="277">
        <f t="shared" si="104"/>
        <v>1</v>
      </c>
      <c r="BA62" s="79">
        <f t="shared" si="104"/>
        <v>176</v>
      </c>
      <c r="BB62" s="13">
        <f t="shared" si="104"/>
        <v>53060</v>
      </c>
      <c r="BC62" s="285">
        <f t="shared" si="96"/>
        <v>615528</v>
      </c>
    </row>
    <row r="63" spans="1:56" ht="15" thickBot="1" x14ac:dyDescent="0.35">
      <c r="A63" s="573"/>
      <c r="B63" s="340" t="s">
        <v>27</v>
      </c>
      <c r="C63" s="157"/>
      <c r="D63" s="173"/>
      <c r="E63" s="6"/>
      <c r="F63" s="175"/>
      <c r="G63" s="8"/>
      <c r="H63" s="224"/>
      <c r="I63" s="224"/>
      <c r="J63" s="224"/>
      <c r="K63" s="16"/>
      <c r="L63" s="29"/>
      <c r="M63" s="108"/>
      <c r="N63" s="111"/>
      <c r="O63" s="108"/>
      <c r="P63" s="108"/>
      <c r="Q63" s="99"/>
      <c r="R63" s="340" t="s">
        <v>27</v>
      </c>
      <c r="S63" s="50"/>
      <c r="T63" s="51">
        <f>S63*8*S62</f>
        <v>0</v>
      </c>
      <c r="U63" s="52"/>
      <c r="V63" s="50"/>
      <c r="W63" s="51">
        <f>V63*8*V62</f>
        <v>0</v>
      </c>
      <c r="X63" s="52"/>
      <c r="Y63" s="50"/>
      <c r="Z63" s="51">
        <f>Y63*8*Y62</f>
        <v>0</v>
      </c>
      <c r="AA63" s="52"/>
      <c r="AB63" s="50"/>
      <c r="AC63" s="51">
        <f>AB63*8*AB62</f>
        <v>0</v>
      </c>
      <c r="AD63" s="52"/>
      <c r="AE63" s="50"/>
      <c r="AF63" s="51">
        <f>AE63*8*AE62</f>
        <v>0</v>
      </c>
      <c r="AG63" s="52"/>
      <c r="AH63" s="50"/>
      <c r="AI63" s="51">
        <f>AH63*8*AH62</f>
        <v>0</v>
      </c>
      <c r="AJ63" s="52"/>
      <c r="AK63" s="50"/>
      <c r="AL63" s="51">
        <f>AK63*8*AK62</f>
        <v>0</v>
      </c>
      <c r="AM63" s="52"/>
      <c r="AN63" s="50"/>
      <c r="AO63" s="51">
        <f>AN63*8*AN62</f>
        <v>0</v>
      </c>
      <c r="AP63" s="52"/>
      <c r="AQ63" s="50"/>
      <c r="AR63" s="51">
        <f>AQ63*8*AQ62</f>
        <v>0</v>
      </c>
      <c r="AS63" s="52"/>
      <c r="AT63" s="50"/>
      <c r="AU63" s="51">
        <f>AT63*8*AT62</f>
        <v>0</v>
      </c>
      <c r="AV63" s="52"/>
      <c r="AW63" s="50"/>
      <c r="AX63" s="51">
        <f t="shared" ref="AX63" si="105">AW63*8*AW62</f>
        <v>0</v>
      </c>
      <c r="AY63" s="52"/>
      <c r="AZ63" s="50"/>
      <c r="BA63" s="51">
        <f t="shared" ref="BA63" si="106">AZ63*8*AZ62</f>
        <v>0</v>
      </c>
      <c r="BB63" s="52"/>
      <c r="BC63" s="344">
        <f>25-(S63+V63+Y63+AB63+AE63+AH63+AK63+AN63+AQ63+AT63+AW63+AZ63)</f>
        <v>25</v>
      </c>
    </row>
    <row r="64" spans="1:56" ht="15" thickBot="1" x14ac:dyDescent="0.35">
      <c r="L64" s="202"/>
      <c r="M64" s="202"/>
      <c r="BC64" s="302"/>
    </row>
    <row r="65" spans="1:55" ht="15" thickBot="1" x14ac:dyDescent="0.35">
      <c r="A65" s="291" t="s">
        <v>173</v>
      </c>
      <c r="B65" s="195" t="s">
        <v>6</v>
      </c>
      <c r="C65" s="198" t="s">
        <v>58</v>
      </c>
      <c r="D65" s="199"/>
      <c r="E65" s="143" t="s">
        <v>97</v>
      </c>
      <c r="F65" s="200" t="s">
        <v>4</v>
      </c>
      <c r="G65" s="323">
        <v>44531</v>
      </c>
      <c r="H65" s="324"/>
      <c r="I65" s="324"/>
      <c r="J65" s="478"/>
      <c r="K65" s="230" t="s">
        <v>12</v>
      </c>
      <c r="L65" s="323">
        <v>44531</v>
      </c>
      <c r="M65" s="326">
        <v>44926</v>
      </c>
      <c r="N65" s="332"/>
      <c r="O65" s="327"/>
      <c r="P65" s="327"/>
      <c r="Q65" s="328">
        <v>5000</v>
      </c>
      <c r="R65" s="245" t="s">
        <v>6</v>
      </c>
      <c r="S65" s="254">
        <v>500</v>
      </c>
      <c r="T65" s="255">
        <v>10</v>
      </c>
      <c r="U65" s="206">
        <f t="shared" ref="U65" si="107">S65*T65</f>
        <v>5000</v>
      </c>
      <c r="V65" s="254">
        <v>500</v>
      </c>
      <c r="W65" s="255">
        <v>10</v>
      </c>
      <c r="X65" s="206">
        <f t="shared" ref="X65" si="108">V65*W65</f>
        <v>5000</v>
      </c>
      <c r="Y65" s="254">
        <v>500</v>
      </c>
      <c r="Z65" s="255">
        <v>10</v>
      </c>
      <c r="AA65" s="206">
        <f t="shared" ref="AA65" si="109">Y65*Z65</f>
        <v>5000</v>
      </c>
      <c r="AB65" s="254">
        <v>500</v>
      </c>
      <c r="AC65" s="255">
        <v>10</v>
      </c>
      <c r="AD65" s="206">
        <f t="shared" ref="AD65" si="110">AB65*AC65</f>
        <v>5000</v>
      </c>
      <c r="AE65" s="254">
        <v>500</v>
      </c>
      <c r="AF65" s="255">
        <v>10</v>
      </c>
      <c r="AG65" s="206">
        <f t="shared" ref="AG65" si="111">AE65*AF65</f>
        <v>5000</v>
      </c>
      <c r="AH65" s="254">
        <v>500</v>
      </c>
      <c r="AI65" s="255">
        <v>10</v>
      </c>
      <c r="AJ65" s="206">
        <f t="shared" ref="AJ65" si="112">AH65*AI65</f>
        <v>5000</v>
      </c>
      <c r="AK65" s="254">
        <v>500</v>
      </c>
      <c r="AL65" s="255">
        <v>10</v>
      </c>
      <c r="AM65" s="206">
        <f t="shared" ref="AM65" si="113">AK65*AL65</f>
        <v>5000</v>
      </c>
      <c r="AN65" s="254">
        <v>500</v>
      </c>
      <c r="AO65" s="255">
        <v>10</v>
      </c>
      <c r="AP65" s="206">
        <f t="shared" ref="AP65" si="114">AN65*AO65</f>
        <v>5000</v>
      </c>
      <c r="AQ65" s="254">
        <v>500</v>
      </c>
      <c r="AR65" s="255">
        <v>10</v>
      </c>
      <c r="AS65" s="206">
        <f t="shared" ref="AS65" si="115">AQ65*AR65</f>
        <v>5000</v>
      </c>
      <c r="AT65" s="254">
        <v>500</v>
      </c>
      <c r="AU65" s="255">
        <v>10</v>
      </c>
      <c r="AV65" s="206">
        <f t="shared" ref="AV65" si="116">AT65*AU65</f>
        <v>5000</v>
      </c>
      <c r="AW65" s="254">
        <v>500</v>
      </c>
      <c r="AX65" s="255">
        <v>10</v>
      </c>
      <c r="AY65" s="206">
        <f t="shared" ref="AY65" si="117">AW65*AX65</f>
        <v>5000</v>
      </c>
      <c r="AZ65" s="254">
        <v>500</v>
      </c>
      <c r="BA65" s="255">
        <v>10</v>
      </c>
      <c r="BB65" s="206">
        <f t="shared" ref="BB65" si="118">AZ65*BA65</f>
        <v>5000</v>
      </c>
      <c r="BC65" s="329">
        <f>SUM(U65,X65,AA65,AD65,AG65,AJ65,AM65,AP65,AS65,AV65,AY65,BB65)</f>
        <v>60000</v>
      </c>
    </row>
    <row r="66" spans="1:55" ht="15" thickBot="1" x14ac:dyDescent="0.35">
      <c r="A66" s="291" t="s">
        <v>172</v>
      </c>
      <c r="B66" s="245" t="s">
        <v>6</v>
      </c>
      <c r="C66" s="319" t="s">
        <v>58</v>
      </c>
      <c r="D66" s="320"/>
      <c r="E66" s="321" t="s">
        <v>149</v>
      </c>
      <c r="F66" s="322" t="s">
        <v>4</v>
      </c>
      <c r="G66" s="323">
        <v>44531</v>
      </c>
      <c r="H66" s="324"/>
      <c r="I66" s="324"/>
      <c r="J66" s="478"/>
      <c r="K66" s="310" t="s">
        <v>13</v>
      </c>
      <c r="L66" s="326">
        <v>44531</v>
      </c>
      <c r="M66" s="326">
        <v>44926</v>
      </c>
      <c r="N66" s="321"/>
      <c r="O66" s="327"/>
      <c r="P66" s="327"/>
      <c r="Q66" s="328">
        <v>10000</v>
      </c>
      <c r="R66" s="245" t="s">
        <v>6</v>
      </c>
      <c r="S66" s="254">
        <v>500</v>
      </c>
      <c r="T66" s="255">
        <v>20</v>
      </c>
      <c r="U66" s="206">
        <f t="shared" ref="U66" si="119">S66*T66</f>
        <v>10000</v>
      </c>
      <c r="V66" s="254">
        <v>500</v>
      </c>
      <c r="W66" s="255">
        <v>20</v>
      </c>
      <c r="X66" s="206">
        <f t="shared" ref="X66" si="120">V66*W66</f>
        <v>10000</v>
      </c>
      <c r="Y66" s="254">
        <v>500</v>
      </c>
      <c r="Z66" s="255">
        <v>20</v>
      </c>
      <c r="AA66" s="206">
        <f t="shared" ref="AA66:AA67" si="121">Y66*Z66</f>
        <v>10000</v>
      </c>
      <c r="AB66" s="254">
        <v>500</v>
      </c>
      <c r="AC66" s="255">
        <v>20</v>
      </c>
      <c r="AD66" s="206">
        <f t="shared" ref="AD66:AD67" si="122">AB66*AC66</f>
        <v>10000</v>
      </c>
      <c r="AE66" s="254">
        <v>500</v>
      </c>
      <c r="AF66" s="255">
        <v>20</v>
      </c>
      <c r="AG66" s="206">
        <f t="shared" ref="AG66" si="123">AE66*AF66</f>
        <v>10000</v>
      </c>
      <c r="AH66" s="254">
        <v>500</v>
      </c>
      <c r="AI66" s="255">
        <v>20</v>
      </c>
      <c r="AJ66" s="206">
        <f t="shared" ref="AJ66" si="124">AH66*AI66</f>
        <v>10000</v>
      </c>
      <c r="AK66" s="254">
        <v>500</v>
      </c>
      <c r="AL66" s="255">
        <v>20</v>
      </c>
      <c r="AM66" s="206">
        <f t="shared" ref="AM66" si="125">AK66*AL66</f>
        <v>10000</v>
      </c>
      <c r="AN66" s="254">
        <v>500</v>
      </c>
      <c r="AO66" s="255">
        <v>20</v>
      </c>
      <c r="AP66" s="206">
        <f t="shared" ref="AP66" si="126">AN66*AO66</f>
        <v>10000</v>
      </c>
      <c r="AQ66" s="254">
        <v>500</v>
      </c>
      <c r="AR66" s="255">
        <v>20</v>
      </c>
      <c r="AS66" s="206">
        <f t="shared" ref="AS66" si="127">AQ66*AR66</f>
        <v>10000</v>
      </c>
      <c r="AT66" s="254">
        <v>500</v>
      </c>
      <c r="AU66" s="255">
        <v>20</v>
      </c>
      <c r="AV66" s="206">
        <f t="shared" ref="AV66" si="128">AT66*AU66</f>
        <v>10000</v>
      </c>
      <c r="AW66" s="254">
        <v>500</v>
      </c>
      <c r="AX66" s="255">
        <v>20</v>
      </c>
      <c r="AY66" s="206">
        <f t="shared" ref="AY66" si="129">AW66*AX66</f>
        <v>10000</v>
      </c>
      <c r="AZ66" s="254">
        <v>500</v>
      </c>
      <c r="BA66" s="255">
        <v>20</v>
      </c>
      <c r="BB66" s="206">
        <f t="shared" ref="BB66" si="130">AZ66*BA66</f>
        <v>10000</v>
      </c>
      <c r="BC66" s="329">
        <f>SUM(U66,X66,AA66,AD66,AG66,AJ66,AM66,AP66,AS66,AV66,AY66,BB66)</f>
        <v>120000</v>
      </c>
    </row>
    <row r="67" spans="1:55" ht="15" thickBot="1" x14ac:dyDescent="0.35">
      <c r="A67" s="291" t="s">
        <v>69</v>
      </c>
      <c r="B67" s="245" t="s">
        <v>6</v>
      </c>
      <c r="C67" s="319" t="s">
        <v>58</v>
      </c>
      <c r="D67" s="320"/>
      <c r="E67" s="321" t="s">
        <v>95</v>
      </c>
      <c r="F67" s="322" t="s">
        <v>4</v>
      </c>
      <c r="G67" s="323">
        <v>44044</v>
      </c>
      <c r="H67" s="324"/>
      <c r="I67" s="324"/>
      <c r="J67" s="324"/>
      <c r="K67" s="310" t="s">
        <v>13</v>
      </c>
      <c r="L67" s="325">
        <v>44044</v>
      </c>
      <c r="M67" s="326">
        <v>44926</v>
      </c>
      <c r="N67" s="321"/>
      <c r="O67" s="327"/>
      <c r="P67" s="327"/>
      <c r="Q67" s="328">
        <v>10000</v>
      </c>
      <c r="R67" s="245" t="s">
        <v>6</v>
      </c>
      <c r="S67" s="205"/>
      <c r="T67" s="208"/>
      <c r="U67" s="280"/>
      <c r="V67" s="254">
        <v>500</v>
      </c>
      <c r="W67" s="255">
        <v>20</v>
      </c>
      <c r="X67" s="206">
        <f t="shared" ref="X67" si="131">V67*W67</f>
        <v>10000</v>
      </c>
      <c r="Y67" s="254">
        <v>500</v>
      </c>
      <c r="Z67" s="255">
        <v>20</v>
      </c>
      <c r="AA67" s="206">
        <f t="shared" si="121"/>
        <v>10000</v>
      </c>
      <c r="AB67" s="254">
        <v>500</v>
      </c>
      <c r="AC67" s="255">
        <v>20</v>
      </c>
      <c r="AD67" s="206">
        <f t="shared" si="122"/>
        <v>10000</v>
      </c>
      <c r="AE67" s="205"/>
      <c r="AF67" s="208"/>
      <c r="AG67" s="280"/>
      <c r="AH67" s="205"/>
      <c r="AI67" s="208"/>
      <c r="AJ67" s="280"/>
      <c r="AK67" s="205"/>
      <c r="AL67" s="208"/>
      <c r="AM67" s="280"/>
      <c r="AN67" s="205"/>
      <c r="AO67" s="208"/>
      <c r="AP67" s="280"/>
      <c r="AQ67" s="205"/>
      <c r="AR67" s="208"/>
      <c r="AS67" s="280"/>
      <c r="AT67" s="205"/>
      <c r="AU67" s="208"/>
      <c r="AV67" s="280"/>
      <c r="AW67" s="205"/>
      <c r="AX67" s="208"/>
      <c r="AY67" s="280"/>
      <c r="AZ67" s="205"/>
      <c r="BA67" s="208"/>
      <c r="BB67" s="206"/>
      <c r="BC67" s="329">
        <f>SUM(U67,X67,AA67,AD67,AG67,AJ67,AM67,AP67,AS67,AV67,AY67,BB67)</f>
        <v>30000</v>
      </c>
    </row>
    <row r="68" spans="1:55" ht="15" thickBot="1" x14ac:dyDescent="0.35">
      <c r="A68" s="194" t="s">
        <v>177</v>
      </c>
      <c r="B68" s="195" t="s">
        <v>6</v>
      </c>
      <c r="C68" s="198" t="s">
        <v>58</v>
      </c>
      <c r="D68" s="199"/>
      <c r="E68" s="143" t="s">
        <v>97</v>
      </c>
      <c r="F68" s="200" t="s">
        <v>4</v>
      </c>
      <c r="G68" s="323">
        <v>44501</v>
      </c>
      <c r="H68" s="229"/>
      <c r="I68" s="229"/>
      <c r="J68" s="229"/>
      <c r="K68" s="230" t="s">
        <v>12</v>
      </c>
      <c r="L68" s="323">
        <v>44501</v>
      </c>
      <c r="M68" s="326">
        <v>44926</v>
      </c>
      <c r="N68" s="317"/>
      <c r="O68" s="144"/>
      <c r="P68" s="144"/>
      <c r="Q68" s="203">
        <v>5000</v>
      </c>
      <c r="R68" s="204" t="s">
        <v>6</v>
      </c>
      <c r="S68" s="254">
        <v>500</v>
      </c>
      <c r="T68" s="255">
        <v>10</v>
      </c>
      <c r="U68" s="280">
        <f t="shared" ref="U68" si="132">S68*T68</f>
        <v>5000</v>
      </c>
      <c r="V68" s="254">
        <v>500</v>
      </c>
      <c r="W68" s="255">
        <v>10</v>
      </c>
      <c r="X68" s="280">
        <f t="shared" ref="X68" si="133">V68*W68</f>
        <v>5000</v>
      </c>
      <c r="Y68" s="254">
        <v>500</v>
      </c>
      <c r="Z68" s="255">
        <v>10</v>
      </c>
      <c r="AA68" s="280">
        <f t="shared" ref="AA68" si="134">Y68*Z68</f>
        <v>5000</v>
      </c>
      <c r="AB68" s="254">
        <v>500</v>
      </c>
      <c r="AC68" s="255">
        <v>10</v>
      </c>
      <c r="AD68" s="280">
        <f t="shared" ref="AD68" si="135">AB68*AC68</f>
        <v>5000</v>
      </c>
      <c r="AE68" s="254">
        <v>500</v>
      </c>
      <c r="AF68" s="255">
        <v>10</v>
      </c>
      <c r="AG68" s="280">
        <f t="shared" ref="AG68" si="136">AE68*AF68</f>
        <v>5000</v>
      </c>
      <c r="AH68" s="254">
        <v>500</v>
      </c>
      <c r="AI68" s="255">
        <v>10</v>
      </c>
      <c r="AJ68" s="280">
        <f t="shared" ref="AJ68" si="137">AH68*AI68</f>
        <v>5000</v>
      </c>
      <c r="AK68" s="254">
        <v>500</v>
      </c>
      <c r="AL68" s="255">
        <v>10</v>
      </c>
      <c r="AM68" s="280">
        <f t="shared" ref="AM68" si="138">AK68*AL68</f>
        <v>5000</v>
      </c>
      <c r="AN68" s="254">
        <v>500</v>
      </c>
      <c r="AO68" s="255">
        <v>10</v>
      </c>
      <c r="AP68" s="280">
        <f t="shared" ref="AP68" si="139">AN68*AO68</f>
        <v>5000</v>
      </c>
      <c r="AQ68" s="254">
        <v>500</v>
      </c>
      <c r="AR68" s="255">
        <v>10</v>
      </c>
      <c r="AS68" s="280">
        <f t="shared" ref="AS68" si="140">AQ68*AR68</f>
        <v>5000</v>
      </c>
      <c r="AT68" s="254">
        <v>500</v>
      </c>
      <c r="AU68" s="255">
        <v>10</v>
      </c>
      <c r="AV68" s="280">
        <f t="shared" ref="AV68:AV69" si="141">AT68*AU68</f>
        <v>5000</v>
      </c>
      <c r="AW68" s="254">
        <v>500</v>
      </c>
      <c r="AX68" s="255">
        <v>10</v>
      </c>
      <c r="AY68" s="280">
        <f t="shared" ref="AY68:AY69" si="142">AW68*AX68</f>
        <v>5000</v>
      </c>
      <c r="AZ68" s="254">
        <v>500</v>
      </c>
      <c r="BA68" s="255">
        <v>10</v>
      </c>
      <c r="BB68" s="280">
        <f t="shared" ref="BB68:BB69" si="143">AZ68*BA68</f>
        <v>5000</v>
      </c>
      <c r="BC68" s="285">
        <f t="shared" ref="BC68:BC69" si="144">SUM(U68,X68,AA68,AD68,AG68,AJ68,AM68,AP68,AS68,AV68,AY68,BB68)</f>
        <v>60000</v>
      </c>
    </row>
    <row r="69" spans="1:55" ht="15" thickBot="1" x14ac:dyDescent="0.35">
      <c r="A69" s="194" t="s">
        <v>163</v>
      </c>
      <c r="B69" s="195" t="s">
        <v>6</v>
      </c>
      <c r="C69" s="198" t="s">
        <v>58</v>
      </c>
      <c r="D69" s="199"/>
      <c r="E69" s="143" t="s">
        <v>99</v>
      </c>
      <c r="F69" s="200" t="s">
        <v>4</v>
      </c>
      <c r="G69" s="323">
        <v>44835</v>
      </c>
      <c r="H69" s="229"/>
      <c r="I69" s="229"/>
      <c r="J69" s="229"/>
      <c r="K69" s="230" t="s">
        <v>12</v>
      </c>
      <c r="L69" s="323">
        <v>44835</v>
      </c>
      <c r="M69" s="326">
        <v>44926</v>
      </c>
      <c r="N69" s="317"/>
      <c r="O69" s="144"/>
      <c r="P69" s="144"/>
      <c r="Q69" s="203">
        <v>10000</v>
      </c>
      <c r="R69" s="195" t="s">
        <v>6</v>
      </c>
      <c r="S69" s="50"/>
      <c r="T69" s="252"/>
      <c r="U69" s="278"/>
      <c r="V69" s="50"/>
      <c r="W69" s="252"/>
      <c r="X69" s="278"/>
      <c r="Y69" s="50"/>
      <c r="Z69" s="252"/>
      <c r="AA69" s="278"/>
      <c r="AB69" s="50"/>
      <c r="AC69" s="252"/>
      <c r="AD69" s="278"/>
      <c r="AE69" s="50"/>
      <c r="AF69" s="252"/>
      <c r="AG69" s="278"/>
      <c r="AH69" s="50"/>
      <c r="AI69" s="252"/>
      <c r="AJ69" s="278"/>
      <c r="AK69" s="50"/>
      <c r="AL69" s="252"/>
      <c r="AM69" s="278"/>
      <c r="AN69" s="50"/>
      <c r="AO69" s="252"/>
      <c r="AP69" s="278"/>
      <c r="AQ69" s="50"/>
      <c r="AR69" s="252"/>
      <c r="AS69" s="278"/>
      <c r="AT69" s="254">
        <v>500</v>
      </c>
      <c r="AU69" s="255">
        <v>20</v>
      </c>
      <c r="AV69" s="206">
        <f t="shared" si="141"/>
        <v>10000</v>
      </c>
      <c r="AW69" s="254">
        <v>500</v>
      </c>
      <c r="AX69" s="255">
        <v>20</v>
      </c>
      <c r="AY69" s="206">
        <f t="shared" si="142"/>
        <v>10000</v>
      </c>
      <c r="AZ69" s="254">
        <v>500</v>
      </c>
      <c r="BA69" s="255">
        <v>20</v>
      </c>
      <c r="BB69" s="206">
        <f t="shared" si="143"/>
        <v>10000</v>
      </c>
      <c r="BC69" s="285">
        <f t="shared" si="144"/>
        <v>30000</v>
      </c>
    </row>
    <row r="70" spans="1:55" ht="15" thickBot="1" x14ac:dyDescent="0.35">
      <c r="A70" s="194" t="s">
        <v>71</v>
      </c>
      <c r="B70" s="195" t="s">
        <v>6</v>
      </c>
      <c r="C70" s="198" t="s">
        <v>58</v>
      </c>
      <c r="D70" s="199"/>
      <c r="E70" s="143" t="s">
        <v>96</v>
      </c>
      <c r="F70" s="200" t="s">
        <v>4</v>
      </c>
      <c r="G70" s="201">
        <v>44136</v>
      </c>
      <c r="H70" s="229"/>
      <c r="I70" s="229"/>
      <c r="J70" s="229"/>
      <c r="K70" s="230" t="s">
        <v>12</v>
      </c>
      <c r="L70" s="318">
        <v>44136</v>
      </c>
      <c r="M70" s="326">
        <v>44926</v>
      </c>
      <c r="N70" s="317"/>
      <c r="O70" s="144"/>
      <c r="P70" s="144"/>
      <c r="Q70" s="203">
        <v>5000</v>
      </c>
      <c r="R70" s="195" t="s">
        <v>6</v>
      </c>
      <c r="S70" s="268">
        <v>500</v>
      </c>
      <c r="T70" s="269">
        <v>10</v>
      </c>
      <c r="U70" s="278">
        <f t="shared" ref="U70:U76" si="145">S70*T70</f>
        <v>5000</v>
      </c>
      <c r="V70" s="268">
        <v>500</v>
      </c>
      <c r="W70" s="269">
        <v>10</v>
      </c>
      <c r="X70" s="278">
        <f t="shared" ref="X70:X82" si="146">V70*W70</f>
        <v>5000</v>
      </c>
      <c r="Y70" s="268">
        <v>500</v>
      </c>
      <c r="Z70" s="269">
        <v>10</v>
      </c>
      <c r="AA70" s="278">
        <f t="shared" ref="AA70:AA82" si="147">Y70*Z70</f>
        <v>5000</v>
      </c>
      <c r="AB70" s="268">
        <v>500</v>
      </c>
      <c r="AC70" s="269">
        <v>10</v>
      </c>
      <c r="AD70" s="278">
        <f t="shared" ref="AD70:AD82" si="148">AB70*AC70</f>
        <v>5000</v>
      </c>
      <c r="AE70" s="268">
        <v>500</v>
      </c>
      <c r="AF70" s="269">
        <v>10</v>
      </c>
      <c r="AG70" s="278">
        <f t="shared" ref="AG70:AG82" si="149">AE70*AF70</f>
        <v>5000</v>
      </c>
      <c r="AH70" s="268">
        <v>500</v>
      </c>
      <c r="AI70" s="269">
        <v>10</v>
      </c>
      <c r="AJ70" s="278">
        <f t="shared" ref="AJ70:AJ82" si="150">AH70*AI70</f>
        <v>5000</v>
      </c>
      <c r="AK70" s="268">
        <v>500</v>
      </c>
      <c r="AL70" s="269">
        <v>10</v>
      </c>
      <c r="AM70" s="278">
        <f t="shared" ref="AM70:AM82" si="151">AK70*AL70</f>
        <v>5000</v>
      </c>
      <c r="AN70" s="268">
        <v>500</v>
      </c>
      <c r="AO70" s="269">
        <v>10</v>
      </c>
      <c r="AP70" s="278">
        <f t="shared" ref="AP70:AP82" si="152">AN70*AO70</f>
        <v>5000</v>
      </c>
      <c r="AQ70" s="268">
        <v>500</v>
      </c>
      <c r="AR70" s="269">
        <v>10</v>
      </c>
      <c r="AS70" s="278">
        <f t="shared" ref="AS70:AS82" si="153">AQ70*AR70</f>
        <v>5000</v>
      </c>
      <c r="AT70" s="268">
        <v>500</v>
      </c>
      <c r="AU70" s="269">
        <v>10</v>
      </c>
      <c r="AV70" s="278">
        <f t="shared" ref="AV70:AV82" si="154">AT70*AU70</f>
        <v>5000</v>
      </c>
      <c r="AW70" s="268">
        <v>500</v>
      </c>
      <c r="AX70" s="269">
        <v>10</v>
      </c>
      <c r="AY70" s="278">
        <f t="shared" ref="AY70:AY82" si="155">AW70*AX70</f>
        <v>5000</v>
      </c>
      <c r="AZ70" s="268">
        <v>500</v>
      </c>
      <c r="BA70" s="269">
        <v>10</v>
      </c>
      <c r="BB70" s="278">
        <f t="shared" ref="BB70:BB82" si="156">AZ70*BA70</f>
        <v>5000</v>
      </c>
      <c r="BC70" s="285">
        <f t="shared" ref="BC70:BC108" si="157">SUM(U70,X70,AA70,AD70,AG70,AJ70,AM70,AP70,AS70,AV70,AY70,BB70)</f>
        <v>60000</v>
      </c>
    </row>
    <row r="71" spans="1:55" ht="15" thickBot="1" x14ac:dyDescent="0.35">
      <c r="A71" s="291" t="s">
        <v>191</v>
      </c>
      <c r="B71" s="195" t="s">
        <v>6</v>
      </c>
      <c r="C71" s="198" t="s">
        <v>58</v>
      </c>
      <c r="D71" s="320"/>
      <c r="E71" s="143" t="s">
        <v>97</v>
      </c>
      <c r="F71" s="200" t="s">
        <v>4</v>
      </c>
      <c r="G71" s="201">
        <v>44805</v>
      </c>
      <c r="H71" s="324"/>
      <c r="I71" s="324"/>
      <c r="J71" s="324"/>
      <c r="K71" s="230" t="s">
        <v>12</v>
      </c>
      <c r="L71" s="201">
        <v>44805</v>
      </c>
      <c r="M71" s="326">
        <v>44926</v>
      </c>
      <c r="N71" s="332"/>
      <c r="O71" s="327"/>
      <c r="P71" s="327"/>
      <c r="Q71" s="203">
        <v>5000</v>
      </c>
      <c r="R71" s="195" t="s">
        <v>6</v>
      </c>
      <c r="S71" s="205"/>
      <c r="T71" s="208"/>
      <c r="U71" s="280"/>
      <c r="V71" s="205"/>
      <c r="W71" s="208"/>
      <c r="X71" s="280"/>
      <c r="Y71" s="205"/>
      <c r="Z71" s="208"/>
      <c r="AA71" s="280"/>
      <c r="AB71" s="205"/>
      <c r="AC71" s="208"/>
      <c r="AD71" s="280"/>
      <c r="AE71" s="205"/>
      <c r="AF71" s="208"/>
      <c r="AG71" s="280"/>
      <c r="AH71" s="205"/>
      <c r="AI71" s="208"/>
      <c r="AJ71" s="280"/>
      <c r="AK71" s="205"/>
      <c r="AL71" s="208"/>
      <c r="AM71" s="280"/>
      <c r="AN71" s="205"/>
      <c r="AO71" s="208"/>
      <c r="AP71" s="280"/>
      <c r="AQ71" s="205"/>
      <c r="AR71" s="208"/>
      <c r="AS71" s="280"/>
      <c r="AT71" s="268">
        <v>500</v>
      </c>
      <c r="AU71" s="269">
        <v>10</v>
      </c>
      <c r="AV71" s="278">
        <f t="shared" si="154"/>
        <v>5000</v>
      </c>
      <c r="AW71" s="268">
        <v>500</v>
      </c>
      <c r="AX71" s="269">
        <v>10</v>
      </c>
      <c r="AY71" s="278">
        <f t="shared" si="155"/>
        <v>5000</v>
      </c>
      <c r="AZ71" s="268">
        <v>500</v>
      </c>
      <c r="BA71" s="269">
        <v>10</v>
      </c>
      <c r="BB71" s="278">
        <f t="shared" si="156"/>
        <v>5000</v>
      </c>
      <c r="BC71" s="285">
        <f t="shared" si="157"/>
        <v>15000</v>
      </c>
    </row>
    <row r="72" spans="1:55" ht="15" thickBot="1" x14ac:dyDescent="0.35">
      <c r="A72" s="291" t="s">
        <v>73</v>
      </c>
      <c r="B72" s="245" t="s">
        <v>6</v>
      </c>
      <c r="C72" s="319" t="s">
        <v>58</v>
      </c>
      <c r="D72" s="320"/>
      <c r="E72" s="321" t="s">
        <v>105</v>
      </c>
      <c r="F72" s="322" t="s">
        <v>4</v>
      </c>
      <c r="G72" s="323">
        <v>44166</v>
      </c>
      <c r="H72" s="324"/>
      <c r="I72" s="324"/>
      <c r="J72" s="324"/>
      <c r="K72" s="310" t="s">
        <v>13</v>
      </c>
      <c r="L72" s="326">
        <v>44166</v>
      </c>
      <c r="M72" s="326">
        <v>44926</v>
      </c>
      <c r="N72" s="332"/>
      <c r="O72" s="327"/>
      <c r="P72" s="327"/>
      <c r="Q72" s="328">
        <v>5000</v>
      </c>
      <c r="R72" s="195" t="s">
        <v>6</v>
      </c>
      <c r="S72" s="205"/>
      <c r="T72" s="208"/>
      <c r="U72" s="280"/>
      <c r="V72" s="205"/>
      <c r="W72" s="208"/>
      <c r="X72" s="280"/>
      <c r="Y72" s="205"/>
      <c r="Z72" s="208"/>
      <c r="AA72" s="280"/>
      <c r="AB72" s="205"/>
      <c r="AC72" s="208"/>
      <c r="AD72" s="280"/>
      <c r="AE72" s="205"/>
      <c r="AF72" s="208"/>
      <c r="AG72" s="280"/>
      <c r="AH72" s="205"/>
      <c r="AI72" s="208"/>
      <c r="AJ72" s="280"/>
      <c r="AK72" s="205"/>
      <c r="AL72" s="208"/>
      <c r="AM72" s="280"/>
      <c r="AN72" s="205"/>
      <c r="AO72" s="208"/>
      <c r="AP72" s="280"/>
      <c r="AQ72" s="205"/>
      <c r="AR72" s="208"/>
      <c r="AS72" s="280"/>
      <c r="AT72" s="205"/>
      <c r="AU72" s="208"/>
      <c r="AV72" s="280"/>
      <c r="AW72" s="205"/>
      <c r="AX72" s="208"/>
      <c r="AY72" s="280"/>
      <c r="AZ72" s="205"/>
      <c r="BA72" s="208"/>
      <c r="BB72" s="280"/>
      <c r="BC72" s="285">
        <f t="shared" si="157"/>
        <v>0</v>
      </c>
    </row>
    <row r="73" spans="1:55" ht="15" thickBot="1" x14ac:dyDescent="0.35">
      <c r="A73" s="194" t="s">
        <v>120</v>
      </c>
      <c r="B73" s="195" t="s">
        <v>6</v>
      </c>
      <c r="C73" s="198" t="s">
        <v>58</v>
      </c>
      <c r="D73" s="199"/>
      <c r="E73" s="143" t="s">
        <v>97</v>
      </c>
      <c r="F73" s="200" t="s">
        <v>4</v>
      </c>
      <c r="G73" s="201">
        <v>44197</v>
      </c>
      <c r="H73" s="229"/>
      <c r="I73" s="229"/>
      <c r="J73" s="229"/>
      <c r="K73" s="230" t="s">
        <v>12</v>
      </c>
      <c r="L73" s="318">
        <v>44197</v>
      </c>
      <c r="M73" s="326">
        <v>44926</v>
      </c>
      <c r="N73" s="317"/>
      <c r="O73" s="144"/>
      <c r="P73" s="144"/>
      <c r="Q73" s="203">
        <v>10000</v>
      </c>
      <c r="R73" s="195" t="s">
        <v>6</v>
      </c>
      <c r="S73" s="268">
        <v>500</v>
      </c>
      <c r="T73" s="269">
        <v>20</v>
      </c>
      <c r="U73" s="275">
        <f t="shared" si="145"/>
        <v>10000</v>
      </c>
      <c r="V73" s="268">
        <v>500</v>
      </c>
      <c r="W73" s="269">
        <v>20</v>
      </c>
      <c r="X73" s="275">
        <f t="shared" si="146"/>
        <v>10000</v>
      </c>
      <c r="Y73" s="268">
        <v>500</v>
      </c>
      <c r="Z73" s="269">
        <v>20</v>
      </c>
      <c r="AA73" s="275">
        <f t="shared" si="147"/>
        <v>10000</v>
      </c>
      <c r="AB73" s="268">
        <v>500</v>
      </c>
      <c r="AC73" s="269">
        <v>20</v>
      </c>
      <c r="AD73" s="275">
        <f t="shared" si="148"/>
        <v>10000</v>
      </c>
      <c r="AE73" s="268">
        <v>500</v>
      </c>
      <c r="AF73" s="269">
        <v>20</v>
      </c>
      <c r="AG73" s="275">
        <f t="shared" si="149"/>
        <v>10000</v>
      </c>
      <c r="AH73" s="268">
        <v>500</v>
      </c>
      <c r="AI73" s="269">
        <v>20</v>
      </c>
      <c r="AJ73" s="275">
        <f t="shared" si="150"/>
        <v>10000</v>
      </c>
      <c r="AK73" s="268">
        <v>500</v>
      </c>
      <c r="AL73" s="269">
        <v>20</v>
      </c>
      <c r="AM73" s="275">
        <f t="shared" si="151"/>
        <v>10000</v>
      </c>
      <c r="AN73" s="268">
        <v>500</v>
      </c>
      <c r="AO73" s="269">
        <v>20</v>
      </c>
      <c r="AP73" s="275">
        <f t="shared" si="152"/>
        <v>10000</v>
      </c>
      <c r="AQ73" s="268">
        <v>500</v>
      </c>
      <c r="AR73" s="269">
        <v>10</v>
      </c>
      <c r="AS73" s="275">
        <f t="shared" si="153"/>
        <v>5000</v>
      </c>
      <c r="AT73" s="268">
        <v>500</v>
      </c>
      <c r="AU73" s="269">
        <v>10</v>
      </c>
      <c r="AV73" s="275">
        <f t="shared" ref="AV73" si="158">AT73*AU73</f>
        <v>5000</v>
      </c>
      <c r="AW73" s="268">
        <v>500</v>
      </c>
      <c r="AX73" s="269">
        <v>10</v>
      </c>
      <c r="AY73" s="275">
        <f t="shared" ref="AY73" si="159">AW73*AX73</f>
        <v>5000</v>
      </c>
      <c r="AZ73" s="268">
        <v>500</v>
      </c>
      <c r="BA73" s="269">
        <v>10</v>
      </c>
      <c r="BB73" s="275">
        <f t="shared" ref="BB73" si="160">AZ73*BA73</f>
        <v>5000</v>
      </c>
      <c r="BC73" s="348">
        <f t="shared" si="157"/>
        <v>100000</v>
      </c>
    </row>
    <row r="74" spans="1:55" ht="15" thickBot="1" x14ac:dyDescent="0.35">
      <c r="A74" s="194" t="s">
        <v>74</v>
      </c>
      <c r="B74" s="195" t="s">
        <v>6</v>
      </c>
      <c r="C74" s="333" t="s">
        <v>58</v>
      </c>
      <c r="D74" s="199"/>
      <c r="E74" s="143" t="s">
        <v>104</v>
      </c>
      <c r="F74" s="200" t="s">
        <v>4</v>
      </c>
      <c r="G74" s="201">
        <v>44119</v>
      </c>
      <c r="H74" s="229"/>
      <c r="I74" s="229"/>
      <c r="J74" s="229"/>
      <c r="K74" s="230" t="s">
        <v>12</v>
      </c>
      <c r="L74" s="318">
        <v>44119</v>
      </c>
      <c r="M74" s="326">
        <v>44926</v>
      </c>
      <c r="N74" s="317"/>
      <c r="O74" s="144"/>
      <c r="P74" s="144"/>
      <c r="Q74" s="203">
        <v>2700</v>
      </c>
      <c r="R74" s="195" t="s">
        <v>6</v>
      </c>
      <c r="S74" s="205"/>
      <c r="T74" s="208"/>
      <c r="U74" s="280"/>
      <c r="V74" s="205"/>
      <c r="W74" s="208"/>
      <c r="X74" s="280"/>
      <c r="Y74" s="205"/>
      <c r="Z74" s="208"/>
      <c r="AA74" s="280"/>
      <c r="AB74" s="205"/>
      <c r="AC74" s="208"/>
      <c r="AD74" s="280"/>
      <c r="AE74" s="205"/>
      <c r="AF74" s="208"/>
      <c r="AG74" s="280"/>
      <c r="AH74" s="205"/>
      <c r="AI74" s="208"/>
      <c r="AJ74" s="280"/>
      <c r="AK74" s="205"/>
      <c r="AL74" s="208"/>
      <c r="AM74" s="280"/>
      <c r="AN74" s="205"/>
      <c r="AO74" s="208"/>
      <c r="AP74" s="280"/>
      <c r="AQ74" s="205"/>
      <c r="AR74" s="208"/>
      <c r="AS74" s="280"/>
      <c r="AT74" s="205"/>
      <c r="AU74" s="208"/>
      <c r="AV74" s="280"/>
      <c r="AW74" s="205"/>
      <c r="AX74" s="208"/>
      <c r="AY74" s="280"/>
      <c r="AZ74" s="205"/>
      <c r="BA74" s="208"/>
      <c r="BB74" s="280"/>
      <c r="BC74" s="285">
        <f t="shared" si="157"/>
        <v>0</v>
      </c>
    </row>
    <row r="75" spans="1:55" ht="15" thickBot="1" x14ac:dyDescent="0.35">
      <c r="A75" s="194" t="s">
        <v>121</v>
      </c>
      <c r="B75" s="195" t="s">
        <v>6</v>
      </c>
      <c r="C75" s="198" t="s">
        <v>58</v>
      </c>
      <c r="D75" s="199"/>
      <c r="E75" s="143" t="s">
        <v>96</v>
      </c>
      <c r="F75" s="200" t="s">
        <v>4</v>
      </c>
      <c r="G75" s="201">
        <v>44197</v>
      </c>
      <c r="H75" s="229"/>
      <c r="I75" s="229"/>
      <c r="J75" s="229"/>
      <c r="K75" s="230" t="s">
        <v>12</v>
      </c>
      <c r="L75" s="318">
        <v>44197</v>
      </c>
      <c r="M75" s="326">
        <v>44926</v>
      </c>
      <c r="N75" s="317"/>
      <c r="O75" s="144"/>
      <c r="P75" s="144"/>
      <c r="Q75" s="203">
        <v>10000</v>
      </c>
      <c r="R75" s="195" t="s">
        <v>6</v>
      </c>
      <c r="S75" s="254">
        <v>500</v>
      </c>
      <c r="T75" s="255">
        <v>20</v>
      </c>
      <c r="U75" s="275">
        <f>S75*T75</f>
        <v>10000</v>
      </c>
      <c r="V75" s="254">
        <v>500</v>
      </c>
      <c r="W75" s="255">
        <v>20</v>
      </c>
      <c r="X75" s="275">
        <f t="shared" si="146"/>
        <v>10000</v>
      </c>
      <c r="Y75" s="254">
        <v>500</v>
      </c>
      <c r="Z75" s="255">
        <v>20</v>
      </c>
      <c r="AA75" s="275">
        <f t="shared" si="147"/>
        <v>10000</v>
      </c>
      <c r="AB75" s="254">
        <v>500</v>
      </c>
      <c r="AC75" s="255">
        <v>20</v>
      </c>
      <c r="AD75" s="275">
        <f t="shared" si="148"/>
        <v>10000</v>
      </c>
      <c r="AE75" s="254">
        <v>500</v>
      </c>
      <c r="AF75" s="255">
        <v>20</v>
      </c>
      <c r="AG75" s="275">
        <f t="shared" si="149"/>
        <v>10000</v>
      </c>
      <c r="AH75" s="254">
        <v>500</v>
      </c>
      <c r="AI75" s="255">
        <v>20</v>
      </c>
      <c r="AJ75" s="275">
        <f t="shared" si="150"/>
        <v>10000</v>
      </c>
      <c r="AK75" s="254">
        <v>500</v>
      </c>
      <c r="AL75" s="255">
        <v>20</v>
      </c>
      <c r="AM75" s="275">
        <f t="shared" si="151"/>
        <v>10000</v>
      </c>
      <c r="AN75" s="254">
        <v>500</v>
      </c>
      <c r="AO75" s="255">
        <v>10</v>
      </c>
      <c r="AP75" s="275">
        <f t="shared" si="152"/>
        <v>5000</v>
      </c>
      <c r="AQ75" s="254">
        <v>500</v>
      </c>
      <c r="AR75" s="255">
        <v>10</v>
      </c>
      <c r="AS75" s="275">
        <f t="shared" ref="AS75" si="161">AQ75*AR75</f>
        <v>5000</v>
      </c>
      <c r="AT75" s="254">
        <v>500</v>
      </c>
      <c r="AU75" s="255">
        <v>10</v>
      </c>
      <c r="AV75" s="275">
        <f t="shared" ref="AV75:AV76" si="162">AT75*AU75</f>
        <v>5000</v>
      </c>
      <c r="AW75" s="254">
        <v>500</v>
      </c>
      <c r="AX75" s="255">
        <v>10</v>
      </c>
      <c r="AY75" s="275">
        <f t="shared" ref="AY75:AY76" si="163">AW75*AX75</f>
        <v>5000</v>
      </c>
      <c r="AZ75" s="254">
        <v>500</v>
      </c>
      <c r="BA75" s="255">
        <v>10</v>
      </c>
      <c r="BB75" s="275">
        <f t="shared" ref="BB75:BB76" si="164">AZ75*BA75</f>
        <v>5000</v>
      </c>
      <c r="BC75" s="285">
        <f t="shared" si="157"/>
        <v>95000</v>
      </c>
    </row>
    <row r="76" spans="1:55" ht="15" thickBot="1" x14ac:dyDescent="0.35">
      <c r="A76" s="194" t="s">
        <v>162</v>
      </c>
      <c r="B76" s="195" t="s">
        <v>6</v>
      </c>
      <c r="C76" s="198" t="s">
        <v>58</v>
      </c>
      <c r="D76" s="199"/>
      <c r="E76" s="143" t="s">
        <v>99</v>
      </c>
      <c r="F76" s="200" t="s">
        <v>4</v>
      </c>
      <c r="G76" s="201">
        <v>44348</v>
      </c>
      <c r="H76" s="229"/>
      <c r="I76" s="229"/>
      <c r="J76" s="229"/>
      <c r="K76" s="230" t="s">
        <v>12</v>
      </c>
      <c r="L76" s="318">
        <v>44348</v>
      </c>
      <c r="M76" s="326">
        <v>44926</v>
      </c>
      <c r="N76" s="317"/>
      <c r="O76" s="144"/>
      <c r="P76" s="144"/>
      <c r="Q76" s="203">
        <v>10000</v>
      </c>
      <c r="R76" s="204" t="s">
        <v>6</v>
      </c>
      <c r="S76" s="254">
        <v>500</v>
      </c>
      <c r="T76" s="255">
        <v>20</v>
      </c>
      <c r="U76" s="280">
        <f t="shared" si="145"/>
        <v>10000</v>
      </c>
      <c r="V76" s="254">
        <v>500</v>
      </c>
      <c r="W76" s="255">
        <v>20</v>
      </c>
      <c r="X76" s="280">
        <f t="shared" si="146"/>
        <v>10000</v>
      </c>
      <c r="Y76" s="254">
        <v>500</v>
      </c>
      <c r="Z76" s="255">
        <v>20</v>
      </c>
      <c r="AA76" s="280">
        <f t="shared" si="147"/>
        <v>10000</v>
      </c>
      <c r="AB76" s="254">
        <v>500</v>
      </c>
      <c r="AC76" s="255">
        <v>20</v>
      </c>
      <c r="AD76" s="280">
        <f t="shared" si="148"/>
        <v>10000</v>
      </c>
      <c r="AE76" s="254">
        <v>500</v>
      </c>
      <c r="AF76" s="255">
        <v>20</v>
      </c>
      <c r="AG76" s="280">
        <f t="shared" si="149"/>
        <v>10000</v>
      </c>
      <c r="AH76" s="254">
        <v>500</v>
      </c>
      <c r="AI76" s="255">
        <v>20</v>
      </c>
      <c r="AJ76" s="280">
        <f t="shared" si="150"/>
        <v>10000</v>
      </c>
      <c r="AK76" s="254">
        <v>500</v>
      </c>
      <c r="AL76" s="255">
        <v>20</v>
      </c>
      <c r="AM76" s="280">
        <f t="shared" si="151"/>
        <v>10000</v>
      </c>
      <c r="AN76" s="254">
        <v>500</v>
      </c>
      <c r="AO76" s="255">
        <v>20</v>
      </c>
      <c r="AP76" s="280">
        <f t="shared" si="152"/>
        <v>10000</v>
      </c>
      <c r="AQ76" s="254">
        <v>500</v>
      </c>
      <c r="AR76" s="255">
        <v>20</v>
      </c>
      <c r="AS76" s="280">
        <f t="shared" si="153"/>
        <v>10000</v>
      </c>
      <c r="AT76" s="254">
        <v>500</v>
      </c>
      <c r="AU76" s="255">
        <v>20</v>
      </c>
      <c r="AV76" s="275">
        <f t="shared" si="162"/>
        <v>10000</v>
      </c>
      <c r="AW76" s="254">
        <v>500</v>
      </c>
      <c r="AX76" s="255">
        <v>20</v>
      </c>
      <c r="AY76" s="280">
        <f t="shared" si="163"/>
        <v>10000</v>
      </c>
      <c r="AZ76" s="254">
        <v>500</v>
      </c>
      <c r="BA76" s="255">
        <v>20</v>
      </c>
      <c r="BB76" s="280">
        <f t="shared" si="164"/>
        <v>10000</v>
      </c>
      <c r="BC76" s="285">
        <f t="shared" si="157"/>
        <v>120000</v>
      </c>
    </row>
    <row r="77" spans="1:55" ht="20.399999999999999" customHeight="1" thickBot="1" x14ac:dyDescent="0.35">
      <c r="A77" s="194" t="s">
        <v>192</v>
      </c>
      <c r="B77" s="195" t="s">
        <v>6</v>
      </c>
      <c r="C77" s="198" t="s">
        <v>58</v>
      </c>
      <c r="D77" s="199"/>
      <c r="E77" s="143" t="s">
        <v>97</v>
      </c>
      <c r="F77" s="200" t="s">
        <v>4</v>
      </c>
      <c r="G77" s="201">
        <v>44805</v>
      </c>
      <c r="H77" s="229"/>
      <c r="I77" s="229"/>
      <c r="J77" s="229"/>
      <c r="K77" s="230" t="s">
        <v>12</v>
      </c>
      <c r="L77" s="201">
        <v>44805</v>
      </c>
      <c r="M77" s="326">
        <v>44926</v>
      </c>
      <c r="N77" s="317"/>
      <c r="O77" s="144"/>
      <c r="P77" s="144"/>
      <c r="Q77" s="328">
        <v>5000</v>
      </c>
      <c r="R77" s="195" t="s">
        <v>6</v>
      </c>
      <c r="S77" s="205"/>
      <c r="T77" s="208"/>
      <c r="U77" s="280"/>
      <c r="V77" s="205"/>
      <c r="W77" s="208"/>
      <c r="X77" s="280"/>
      <c r="Y77" s="205"/>
      <c r="Z77" s="208"/>
      <c r="AA77" s="280"/>
      <c r="AB77" s="205"/>
      <c r="AC77" s="208"/>
      <c r="AD77" s="280"/>
      <c r="AE77" s="205"/>
      <c r="AF77" s="208"/>
      <c r="AG77" s="280"/>
      <c r="AH77" s="205"/>
      <c r="AI77" s="208"/>
      <c r="AJ77" s="280"/>
      <c r="AK77" s="205"/>
      <c r="AL77" s="208"/>
      <c r="AM77" s="280"/>
      <c r="AN77" s="205"/>
      <c r="AO77" s="208"/>
      <c r="AP77" s="280"/>
      <c r="AQ77" s="205"/>
      <c r="AR77" s="208"/>
      <c r="AS77" s="280"/>
      <c r="AT77" s="268">
        <v>500</v>
      </c>
      <c r="AU77" s="269">
        <v>10</v>
      </c>
      <c r="AV77" s="278">
        <f t="shared" ref="AV77" si="165">AT77*AU77</f>
        <v>5000</v>
      </c>
      <c r="AW77" s="268">
        <v>500</v>
      </c>
      <c r="AX77" s="269">
        <v>10</v>
      </c>
      <c r="AY77" s="278">
        <f t="shared" si="155"/>
        <v>5000</v>
      </c>
      <c r="AZ77" s="268">
        <v>500</v>
      </c>
      <c r="BA77" s="269">
        <v>10</v>
      </c>
      <c r="BB77" s="278">
        <f t="shared" si="156"/>
        <v>5000</v>
      </c>
      <c r="BC77" s="285">
        <f t="shared" si="157"/>
        <v>15000</v>
      </c>
    </row>
    <row r="78" spans="1:55" ht="15" thickBot="1" x14ac:dyDescent="0.35">
      <c r="A78" s="194" t="s">
        <v>176</v>
      </c>
      <c r="B78" s="195" t="s">
        <v>29</v>
      </c>
      <c r="C78" s="198" t="s">
        <v>58</v>
      </c>
      <c r="D78" s="199"/>
      <c r="E78" s="143" t="s">
        <v>102</v>
      </c>
      <c r="F78" s="200" t="s">
        <v>4</v>
      </c>
      <c r="G78" s="201">
        <v>44562</v>
      </c>
      <c r="H78" s="229"/>
      <c r="I78" s="229"/>
      <c r="J78" s="229"/>
      <c r="K78" s="230" t="s">
        <v>12</v>
      </c>
      <c r="L78" s="318">
        <v>44562</v>
      </c>
      <c r="M78" s="326">
        <v>44926</v>
      </c>
      <c r="N78" s="317"/>
      <c r="O78" s="144"/>
      <c r="P78" s="144"/>
      <c r="Q78" s="203">
        <v>5200</v>
      </c>
      <c r="R78" s="195" t="s">
        <v>29</v>
      </c>
      <c r="S78" s="50"/>
      <c r="T78" s="252"/>
      <c r="U78" s="278"/>
      <c r="V78" s="50"/>
      <c r="W78" s="252"/>
      <c r="X78" s="278"/>
      <c r="Y78" s="50"/>
      <c r="Z78" s="252"/>
      <c r="AA78" s="278"/>
      <c r="AB78" s="50"/>
      <c r="AC78" s="252"/>
      <c r="AD78" s="278"/>
      <c r="AE78" s="50"/>
      <c r="AF78" s="252"/>
      <c r="AG78" s="278"/>
      <c r="AH78" s="50"/>
      <c r="AI78" s="252"/>
      <c r="AJ78" s="278"/>
      <c r="AK78" s="205"/>
      <c r="AL78" s="208"/>
      <c r="AM78" s="280"/>
      <c r="AN78" s="205"/>
      <c r="AO78" s="208"/>
      <c r="AP78" s="280"/>
      <c r="AQ78" s="254">
        <v>400</v>
      </c>
      <c r="AR78" s="255">
        <v>13</v>
      </c>
      <c r="AS78" s="280">
        <f>AQ78*AR78</f>
        <v>5200</v>
      </c>
      <c r="AT78" s="254">
        <v>400</v>
      </c>
      <c r="AU78" s="255">
        <v>25</v>
      </c>
      <c r="AV78" s="280">
        <f>AT78*AU78</f>
        <v>10000</v>
      </c>
      <c r="AW78" s="254">
        <v>400</v>
      </c>
      <c r="AX78" s="255">
        <v>13</v>
      </c>
      <c r="AY78" s="280">
        <f>AW78*AX78</f>
        <v>5200</v>
      </c>
      <c r="AZ78" s="254">
        <v>400</v>
      </c>
      <c r="BA78" s="255">
        <v>13</v>
      </c>
      <c r="BB78" s="280">
        <f>AZ78*BA78</f>
        <v>5200</v>
      </c>
      <c r="BC78" s="285">
        <f>SUM(U78,X78,AA78,AD78,AG78,AJ78,AM78,AP78,AS78,AV78,AY78,BB78)</f>
        <v>25600</v>
      </c>
    </row>
    <row r="79" spans="1:55" ht="15" thickBot="1" x14ac:dyDescent="0.35">
      <c r="A79" s="194" t="s">
        <v>79</v>
      </c>
      <c r="B79" s="195" t="s">
        <v>29</v>
      </c>
      <c r="C79" s="198" t="s">
        <v>58</v>
      </c>
      <c r="D79" s="199"/>
      <c r="E79" s="143" t="s">
        <v>102</v>
      </c>
      <c r="F79" s="200" t="s">
        <v>4</v>
      </c>
      <c r="G79" s="201">
        <v>43952</v>
      </c>
      <c r="H79" s="229"/>
      <c r="I79" s="229"/>
      <c r="J79" s="229"/>
      <c r="K79" s="230" t="s">
        <v>12</v>
      </c>
      <c r="L79" s="318">
        <v>43952</v>
      </c>
      <c r="M79" s="326">
        <v>44926</v>
      </c>
      <c r="N79" s="317"/>
      <c r="O79" s="144"/>
      <c r="P79" s="144"/>
      <c r="Q79" s="203">
        <v>5200</v>
      </c>
      <c r="R79" s="195" t="s">
        <v>29</v>
      </c>
      <c r="S79" s="254">
        <v>400</v>
      </c>
      <c r="T79" s="255">
        <v>13</v>
      </c>
      <c r="U79" s="280">
        <f t="shared" ref="U79:U108" si="166">S79*T79</f>
        <v>5200</v>
      </c>
      <c r="V79" s="254">
        <v>400</v>
      </c>
      <c r="W79" s="255">
        <v>13</v>
      </c>
      <c r="X79" s="280">
        <f t="shared" si="146"/>
        <v>5200</v>
      </c>
      <c r="Y79" s="254">
        <v>400</v>
      </c>
      <c r="Z79" s="255">
        <v>13</v>
      </c>
      <c r="AA79" s="280">
        <f t="shared" si="147"/>
        <v>5200</v>
      </c>
      <c r="AB79" s="254">
        <v>400</v>
      </c>
      <c r="AC79" s="255">
        <v>13</v>
      </c>
      <c r="AD79" s="280">
        <f t="shared" si="148"/>
        <v>5200</v>
      </c>
      <c r="AE79" s="254">
        <v>400</v>
      </c>
      <c r="AF79" s="255">
        <v>13</v>
      </c>
      <c r="AG79" s="280">
        <f t="shared" si="149"/>
        <v>5200</v>
      </c>
      <c r="AH79" s="254">
        <v>400</v>
      </c>
      <c r="AI79" s="255">
        <v>13</v>
      </c>
      <c r="AJ79" s="280">
        <f t="shared" si="150"/>
        <v>5200</v>
      </c>
      <c r="AK79" s="254">
        <v>400</v>
      </c>
      <c r="AL79" s="255">
        <v>13</v>
      </c>
      <c r="AM79" s="280">
        <f t="shared" si="151"/>
        <v>5200</v>
      </c>
      <c r="AN79" s="254">
        <v>400</v>
      </c>
      <c r="AO79" s="255">
        <v>13</v>
      </c>
      <c r="AP79" s="280">
        <f t="shared" si="152"/>
        <v>5200</v>
      </c>
      <c r="AQ79" s="254">
        <v>400</v>
      </c>
      <c r="AR79" s="255">
        <v>13</v>
      </c>
      <c r="AS79" s="280">
        <f t="shared" si="153"/>
        <v>5200</v>
      </c>
      <c r="AT79" s="254">
        <v>400</v>
      </c>
      <c r="AU79" s="255">
        <v>13</v>
      </c>
      <c r="AV79" s="280">
        <f t="shared" si="154"/>
        <v>5200</v>
      </c>
      <c r="AW79" s="254">
        <v>400</v>
      </c>
      <c r="AX79" s="255">
        <v>0</v>
      </c>
      <c r="AY79" s="280">
        <f t="shared" si="155"/>
        <v>0</v>
      </c>
      <c r="AZ79" s="254">
        <v>400</v>
      </c>
      <c r="BA79" s="255">
        <v>0</v>
      </c>
      <c r="BB79" s="280">
        <f t="shared" si="156"/>
        <v>0</v>
      </c>
      <c r="BC79" s="285">
        <f t="shared" si="157"/>
        <v>52000</v>
      </c>
    </row>
    <row r="80" spans="1:55" ht="15" thickBot="1" x14ac:dyDescent="0.35">
      <c r="A80" s="194" t="s">
        <v>175</v>
      </c>
      <c r="B80" s="195" t="s">
        <v>29</v>
      </c>
      <c r="C80" s="198" t="s">
        <v>58</v>
      </c>
      <c r="D80" s="199"/>
      <c r="E80" s="143" t="s">
        <v>103</v>
      </c>
      <c r="F80" s="200" t="s">
        <v>4</v>
      </c>
      <c r="G80" s="201">
        <v>44562</v>
      </c>
      <c r="H80" s="229"/>
      <c r="I80" s="229"/>
      <c r="J80" s="229"/>
      <c r="K80" s="230" t="s">
        <v>12</v>
      </c>
      <c r="L80" s="318">
        <v>44562</v>
      </c>
      <c r="M80" s="326">
        <v>44926</v>
      </c>
      <c r="N80" s="317"/>
      <c r="O80" s="144"/>
      <c r="P80" s="144"/>
      <c r="Q80" s="203">
        <v>5200</v>
      </c>
      <c r="R80" s="195" t="s">
        <v>29</v>
      </c>
      <c r="S80" s="254">
        <v>400</v>
      </c>
      <c r="T80" s="255">
        <v>13</v>
      </c>
      <c r="U80" s="280">
        <f t="shared" si="166"/>
        <v>5200</v>
      </c>
      <c r="V80" s="254">
        <v>400</v>
      </c>
      <c r="W80" s="255">
        <v>13</v>
      </c>
      <c r="X80" s="280">
        <f t="shared" si="146"/>
        <v>5200</v>
      </c>
      <c r="Y80" s="254">
        <v>400</v>
      </c>
      <c r="Z80" s="255">
        <v>13</v>
      </c>
      <c r="AA80" s="280">
        <f t="shared" si="147"/>
        <v>5200</v>
      </c>
      <c r="AB80" s="254">
        <v>400</v>
      </c>
      <c r="AC80" s="255">
        <v>13</v>
      </c>
      <c r="AD80" s="280">
        <f t="shared" si="148"/>
        <v>5200</v>
      </c>
      <c r="AE80" s="254">
        <v>400</v>
      </c>
      <c r="AF80" s="255">
        <v>13</v>
      </c>
      <c r="AG80" s="280">
        <f t="shared" si="149"/>
        <v>5200</v>
      </c>
      <c r="AH80" s="254">
        <v>400</v>
      </c>
      <c r="AI80" s="255">
        <v>13</v>
      </c>
      <c r="AJ80" s="280">
        <f t="shared" si="150"/>
        <v>5200</v>
      </c>
      <c r="AK80" s="254">
        <v>400</v>
      </c>
      <c r="AL80" s="255">
        <v>13</v>
      </c>
      <c r="AM80" s="280">
        <f t="shared" si="151"/>
        <v>5200</v>
      </c>
      <c r="AN80" s="254">
        <v>400</v>
      </c>
      <c r="AO80" s="255">
        <v>13</v>
      </c>
      <c r="AP80" s="280">
        <f t="shared" si="152"/>
        <v>5200</v>
      </c>
      <c r="AQ80" s="254">
        <v>400</v>
      </c>
      <c r="AR80" s="255">
        <v>13</v>
      </c>
      <c r="AS80" s="280">
        <f t="shared" si="153"/>
        <v>5200</v>
      </c>
      <c r="AT80" s="254">
        <v>400</v>
      </c>
      <c r="AU80" s="255">
        <v>13</v>
      </c>
      <c r="AV80" s="280">
        <f t="shared" si="154"/>
        <v>5200</v>
      </c>
      <c r="AW80" s="254">
        <v>400</v>
      </c>
      <c r="AX80" s="255">
        <v>0</v>
      </c>
      <c r="AY80" s="280">
        <v>0</v>
      </c>
      <c r="AZ80" s="254">
        <v>400</v>
      </c>
      <c r="BA80" s="255">
        <v>0</v>
      </c>
      <c r="BB80" s="280">
        <f t="shared" si="156"/>
        <v>0</v>
      </c>
      <c r="BC80" s="285">
        <f t="shared" si="157"/>
        <v>52000</v>
      </c>
    </row>
    <row r="81" spans="1:55" ht="15" thickBot="1" x14ac:dyDescent="0.35">
      <c r="A81" s="194" t="s">
        <v>181</v>
      </c>
      <c r="B81" s="195" t="s">
        <v>29</v>
      </c>
      <c r="C81" s="198" t="s">
        <v>58</v>
      </c>
      <c r="D81" s="199"/>
      <c r="E81" s="143" t="s">
        <v>102</v>
      </c>
      <c r="F81" s="200" t="s">
        <v>4</v>
      </c>
      <c r="G81" s="201">
        <v>44621</v>
      </c>
      <c r="H81" s="229"/>
      <c r="I81" s="229"/>
      <c r="J81" s="229"/>
      <c r="K81" s="230" t="s">
        <v>12</v>
      </c>
      <c r="L81" s="201">
        <v>44621</v>
      </c>
      <c r="M81" s="326">
        <v>44926</v>
      </c>
      <c r="N81" s="317"/>
      <c r="O81" s="144"/>
      <c r="P81" s="144"/>
      <c r="Q81" s="203">
        <v>4000</v>
      </c>
      <c r="R81" s="195" t="s">
        <v>29</v>
      </c>
      <c r="S81" s="50"/>
      <c r="T81" s="252"/>
      <c r="U81" s="278"/>
      <c r="V81" s="50"/>
      <c r="W81" s="252"/>
      <c r="X81" s="278"/>
      <c r="Y81" s="254">
        <v>400</v>
      </c>
      <c r="Z81" s="255">
        <v>10</v>
      </c>
      <c r="AA81" s="280">
        <f t="shared" si="147"/>
        <v>4000</v>
      </c>
      <c r="AB81" s="254">
        <v>400</v>
      </c>
      <c r="AC81" s="255">
        <v>10</v>
      </c>
      <c r="AD81" s="280">
        <f t="shared" si="148"/>
        <v>4000</v>
      </c>
      <c r="AE81" s="254">
        <v>400</v>
      </c>
      <c r="AF81" s="255">
        <v>10</v>
      </c>
      <c r="AG81" s="280">
        <f t="shared" si="149"/>
        <v>4000</v>
      </c>
      <c r="AH81" s="254">
        <v>400</v>
      </c>
      <c r="AI81" s="255">
        <v>10</v>
      </c>
      <c r="AJ81" s="280">
        <f t="shared" si="150"/>
        <v>4000</v>
      </c>
      <c r="AK81" s="254">
        <v>400</v>
      </c>
      <c r="AL81" s="255">
        <v>10</v>
      </c>
      <c r="AM81" s="280">
        <f t="shared" si="151"/>
        <v>4000</v>
      </c>
      <c r="AN81" s="254">
        <v>400</v>
      </c>
      <c r="AO81" s="255">
        <v>10</v>
      </c>
      <c r="AP81" s="280">
        <f t="shared" si="152"/>
        <v>4000</v>
      </c>
      <c r="AQ81" s="254">
        <v>400</v>
      </c>
      <c r="AR81" s="255">
        <v>10</v>
      </c>
      <c r="AS81" s="280">
        <f t="shared" si="153"/>
        <v>4000</v>
      </c>
      <c r="AT81" s="254">
        <v>400</v>
      </c>
      <c r="AU81" s="255">
        <v>25</v>
      </c>
      <c r="AV81" s="280">
        <f t="shared" si="154"/>
        <v>10000</v>
      </c>
      <c r="AW81" s="254">
        <v>400</v>
      </c>
      <c r="AX81" s="255">
        <v>13</v>
      </c>
      <c r="AY81" s="280">
        <f t="shared" si="155"/>
        <v>5200</v>
      </c>
      <c r="AZ81" s="254">
        <v>400</v>
      </c>
      <c r="BA81" s="255">
        <v>13</v>
      </c>
      <c r="BB81" s="280">
        <f t="shared" si="156"/>
        <v>5200</v>
      </c>
      <c r="BC81" s="285">
        <f t="shared" si="157"/>
        <v>48400</v>
      </c>
    </row>
    <row r="82" spans="1:55" ht="15" thickBot="1" x14ac:dyDescent="0.35">
      <c r="A82" s="194" t="s">
        <v>108</v>
      </c>
      <c r="B82" s="195" t="s">
        <v>29</v>
      </c>
      <c r="C82" s="198" t="s">
        <v>58</v>
      </c>
      <c r="D82" s="199"/>
      <c r="E82" s="143" t="s">
        <v>97</v>
      </c>
      <c r="F82" s="200" t="s">
        <v>4</v>
      </c>
      <c r="G82" s="201">
        <v>43952</v>
      </c>
      <c r="H82" s="229"/>
      <c r="I82" s="229"/>
      <c r="J82" s="229"/>
      <c r="K82" s="230" t="s">
        <v>12</v>
      </c>
      <c r="L82" s="318">
        <v>43952</v>
      </c>
      <c r="M82" s="326">
        <v>44926</v>
      </c>
      <c r="N82" s="317"/>
      <c r="O82" s="144"/>
      <c r="P82" s="144"/>
      <c r="Q82" s="203">
        <v>5200</v>
      </c>
      <c r="R82" s="195" t="s">
        <v>29</v>
      </c>
      <c r="S82" s="254">
        <v>400</v>
      </c>
      <c r="T82" s="255">
        <v>13</v>
      </c>
      <c r="U82" s="280">
        <f t="shared" si="166"/>
        <v>5200</v>
      </c>
      <c r="V82" s="254">
        <v>400</v>
      </c>
      <c r="W82" s="255">
        <v>13</v>
      </c>
      <c r="X82" s="280">
        <f t="shared" si="146"/>
        <v>5200</v>
      </c>
      <c r="Y82" s="254">
        <v>400</v>
      </c>
      <c r="Z82" s="255">
        <v>13</v>
      </c>
      <c r="AA82" s="280">
        <f t="shared" si="147"/>
        <v>5200</v>
      </c>
      <c r="AB82" s="254">
        <v>400</v>
      </c>
      <c r="AC82" s="255">
        <v>13</v>
      </c>
      <c r="AD82" s="280">
        <f t="shared" si="148"/>
        <v>5200</v>
      </c>
      <c r="AE82" s="254">
        <v>400</v>
      </c>
      <c r="AF82" s="255">
        <v>13</v>
      </c>
      <c r="AG82" s="280">
        <f t="shared" si="149"/>
        <v>5200</v>
      </c>
      <c r="AH82" s="254">
        <v>400</v>
      </c>
      <c r="AI82" s="255">
        <v>13</v>
      </c>
      <c r="AJ82" s="280">
        <f t="shared" si="150"/>
        <v>5200</v>
      </c>
      <c r="AK82" s="254">
        <v>400</v>
      </c>
      <c r="AL82" s="255">
        <v>13</v>
      </c>
      <c r="AM82" s="280">
        <f t="shared" si="151"/>
        <v>5200</v>
      </c>
      <c r="AN82" s="254">
        <v>400</v>
      </c>
      <c r="AO82" s="255">
        <v>13</v>
      </c>
      <c r="AP82" s="280">
        <f t="shared" si="152"/>
        <v>5200</v>
      </c>
      <c r="AQ82" s="254">
        <v>400</v>
      </c>
      <c r="AR82" s="255">
        <v>13</v>
      </c>
      <c r="AS82" s="280">
        <f t="shared" si="153"/>
        <v>5200</v>
      </c>
      <c r="AT82" s="254">
        <v>400</v>
      </c>
      <c r="AU82" s="255">
        <v>25</v>
      </c>
      <c r="AV82" s="280">
        <f t="shared" si="154"/>
        <v>10000</v>
      </c>
      <c r="AW82" s="254">
        <v>400</v>
      </c>
      <c r="AX82" s="255">
        <v>13</v>
      </c>
      <c r="AY82" s="280">
        <f t="shared" si="155"/>
        <v>5200</v>
      </c>
      <c r="AZ82" s="254">
        <v>400</v>
      </c>
      <c r="BA82" s="255">
        <v>13</v>
      </c>
      <c r="BB82" s="280">
        <f t="shared" si="156"/>
        <v>5200</v>
      </c>
      <c r="BC82" s="285">
        <f t="shared" si="157"/>
        <v>67200</v>
      </c>
    </row>
    <row r="83" spans="1:55" ht="15" thickBot="1" x14ac:dyDescent="0.35">
      <c r="A83" s="194" t="s">
        <v>164</v>
      </c>
      <c r="B83" s="195" t="s">
        <v>30</v>
      </c>
      <c r="C83" s="198" t="s">
        <v>58</v>
      </c>
      <c r="D83" s="199"/>
      <c r="E83" s="143" t="s">
        <v>98</v>
      </c>
      <c r="F83" s="200" t="s">
        <v>4</v>
      </c>
      <c r="G83" s="201">
        <v>44440</v>
      </c>
      <c r="H83" s="229"/>
      <c r="I83" s="229"/>
      <c r="J83" s="229"/>
      <c r="K83" s="316" t="s">
        <v>13</v>
      </c>
      <c r="L83" s="201">
        <v>44440</v>
      </c>
      <c r="M83" s="318">
        <v>44834</v>
      </c>
      <c r="N83" s="317"/>
      <c r="O83" s="144"/>
      <c r="P83" s="144"/>
      <c r="Q83" s="203">
        <v>5200</v>
      </c>
      <c r="R83" s="195" t="s">
        <v>30</v>
      </c>
      <c r="S83" s="254">
        <v>400</v>
      </c>
      <c r="T83" s="255">
        <v>20</v>
      </c>
      <c r="U83" s="280">
        <f t="shared" si="166"/>
        <v>8000</v>
      </c>
      <c r="V83" s="50"/>
      <c r="W83" s="252"/>
      <c r="X83" s="278"/>
      <c r="Y83" s="50"/>
      <c r="Z83" s="252"/>
      <c r="AA83" s="278"/>
      <c r="AB83" s="50"/>
      <c r="AC83" s="252"/>
      <c r="AD83" s="278"/>
      <c r="AE83" s="50"/>
      <c r="AF83" s="252"/>
      <c r="AG83" s="278"/>
      <c r="AH83" s="50"/>
      <c r="AI83" s="252"/>
      <c r="AJ83" s="278"/>
      <c r="AK83" s="50"/>
      <c r="AL83" s="252"/>
      <c r="AM83" s="278"/>
      <c r="AN83" s="50"/>
      <c r="AO83" s="252"/>
      <c r="AP83" s="278"/>
      <c r="AQ83" s="50"/>
      <c r="AR83" s="252"/>
      <c r="AS83" s="278"/>
      <c r="AT83" s="354"/>
      <c r="AU83" s="355"/>
      <c r="AV83" s="355"/>
      <c r="AW83" s="354"/>
      <c r="AX83" s="355"/>
      <c r="AY83" s="355"/>
      <c r="AZ83" s="354"/>
      <c r="BA83" s="355"/>
      <c r="BB83" s="355"/>
      <c r="BC83" s="285">
        <f t="shared" si="157"/>
        <v>8000</v>
      </c>
    </row>
    <row r="84" spans="1:55" ht="15" thickBot="1" x14ac:dyDescent="0.35">
      <c r="A84" s="194" t="s">
        <v>183</v>
      </c>
      <c r="B84" s="195" t="s">
        <v>30</v>
      </c>
      <c r="C84" s="198" t="s">
        <v>58</v>
      </c>
      <c r="D84" s="199"/>
      <c r="E84" s="143" t="s">
        <v>97</v>
      </c>
      <c r="F84" s="200" t="s">
        <v>4</v>
      </c>
      <c r="G84" s="201">
        <v>44652</v>
      </c>
      <c r="H84" s="229"/>
      <c r="I84" s="229"/>
      <c r="J84" s="229"/>
      <c r="K84" s="230" t="s">
        <v>12</v>
      </c>
      <c r="L84" s="495">
        <v>44652</v>
      </c>
      <c r="M84" s="318">
        <v>44834</v>
      </c>
      <c r="N84" s="317"/>
      <c r="O84" s="144"/>
      <c r="P84" s="144"/>
      <c r="Q84" s="203">
        <v>5200</v>
      </c>
      <c r="R84" s="195" t="s">
        <v>30</v>
      </c>
      <c r="S84" s="50"/>
      <c r="T84" s="252"/>
      <c r="U84" s="278"/>
      <c r="V84" s="50"/>
      <c r="W84" s="252"/>
      <c r="X84" s="278"/>
      <c r="Y84" s="50"/>
      <c r="Z84" s="252"/>
      <c r="AA84" s="278"/>
      <c r="AB84" s="254">
        <v>400</v>
      </c>
      <c r="AC84" s="255">
        <v>13</v>
      </c>
      <c r="AD84" s="280">
        <f t="shared" ref="AD84:AD85" si="167">AB84*AC84</f>
        <v>5200</v>
      </c>
      <c r="AE84" s="254">
        <v>400</v>
      </c>
      <c r="AF84" s="255">
        <v>13</v>
      </c>
      <c r="AG84" s="280">
        <f t="shared" ref="AG84:AG85" si="168">AE84*AF84</f>
        <v>5200</v>
      </c>
      <c r="AH84" s="254">
        <v>400</v>
      </c>
      <c r="AI84" s="255">
        <v>13</v>
      </c>
      <c r="AJ84" s="280">
        <f t="shared" ref="AJ84:AJ85" si="169">AH84*AI84</f>
        <v>5200</v>
      </c>
      <c r="AK84" s="254">
        <v>400</v>
      </c>
      <c r="AL84" s="255">
        <v>13</v>
      </c>
      <c r="AM84" s="280">
        <f t="shared" ref="AM84:AM85" si="170">AK84*AL84</f>
        <v>5200</v>
      </c>
      <c r="AN84" s="254">
        <v>400</v>
      </c>
      <c r="AO84" s="255">
        <v>13</v>
      </c>
      <c r="AP84" s="280">
        <f t="shared" ref="AP84:AP85" si="171">AN84*AO84</f>
        <v>5200</v>
      </c>
      <c r="AQ84" s="254">
        <v>400</v>
      </c>
      <c r="AR84" s="255">
        <v>13</v>
      </c>
      <c r="AS84" s="280">
        <f t="shared" ref="AS84:AS85" si="172">AQ84*AR84</f>
        <v>5200</v>
      </c>
      <c r="AT84" s="354"/>
      <c r="AU84" s="355"/>
      <c r="AV84" s="355"/>
      <c r="AW84" s="354"/>
      <c r="AX84" s="355"/>
      <c r="AY84" s="355"/>
      <c r="AZ84" s="354"/>
      <c r="BA84" s="355"/>
      <c r="BB84" s="355"/>
      <c r="BC84" s="285">
        <f t="shared" si="157"/>
        <v>31200</v>
      </c>
    </row>
    <row r="85" spans="1:55" ht="15" thickBot="1" x14ac:dyDescent="0.35">
      <c r="A85" s="194" t="s">
        <v>184</v>
      </c>
      <c r="B85" s="195" t="s">
        <v>30</v>
      </c>
      <c r="C85" s="198" t="s">
        <v>58</v>
      </c>
      <c r="D85" s="199"/>
      <c r="E85" s="143" t="s">
        <v>97</v>
      </c>
      <c r="F85" s="200" t="s">
        <v>4</v>
      </c>
      <c r="G85" s="201">
        <v>44652</v>
      </c>
      <c r="H85" s="229"/>
      <c r="I85" s="229"/>
      <c r="J85" s="229"/>
      <c r="K85" s="230" t="s">
        <v>12</v>
      </c>
      <c r="L85" s="495">
        <v>44652</v>
      </c>
      <c r="M85" s="318">
        <v>44834</v>
      </c>
      <c r="N85" s="317"/>
      <c r="O85" s="144"/>
      <c r="P85" s="144"/>
      <c r="Q85" s="203">
        <v>5200</v>
      </c>
      <c r="R85" s="195" t="s">
        <v>30</v>
      </c>
      <c r="S85" s="50"/>
      <c r="T85" s="252"/>
      <c r="U85" s="278"/>
      <c r="V85" s="50"/>
      <c r="W85" s="252"/>
      <c r="X85" s="278"/>
      <c r="Y85" s="50"/>
      <c r="Z85" s="252"/>
      <c r="AA85" s="278"/>
      <c r="AB85" s="254">
        <v>400</v>
      </c>
      <c r="AC85" s="255">
        <v>13</v>
      </c>
      <c r="AD85" s="280">
        <f t="shared" si="167"/>
        <v>5200</v>
      </c>
      <c r="AE85" s="254">
        <v>400</v>
      </c>
      <c r="AF85" s="255">
        <v>13</v>
      </c>
      <c r="AG85" s="280">
        <f t="shared" si="168"/>
        <v>5200</v>
      </c>
      <c r="AH85" s="254">
        <v>400</v>
      </c>
      <c r="AI85" s="255">
        <v>13</v>
      </c>
      <c r="AJ85" s="280">
        <f t="shared" si="169"/>
        <v>5200</v>
      </c>
      <c r="AK85" s="254">
        <v>400</v>
      </c>
      <c r="AL85" s="255">
        <v>13</v>
      </c>
      <c r="AM85" s="280">
        <f t="shared" si="170"/>
        <v>5200</v>
      </c>
      <c r="AN85" s="254">
        <v>400</v>
      </c>
      <c r="AO85" s="255">
        <v>13</v>
      </c>
      <c r="AP85" s="280">
        <f t="shared" si="171"/>
        <v>5200</v>
      </c>
      <c r="AQ85" s="254">
        <v>400</v>
      </c>
      <c r="AR85" s="255">
        <v>13</v>
      </c>
      <c r="AS85" s="280">
        <f t="shared" si="172"/>
        <v>5200</v>
      </c>
      <c r="AT85" s="354"/>
      <c r="AU85" s="355"/>
      <c r="AV85" s="355"/>
      <c r="AW85" s="354"/>
      <c r="AX85" s="355"/>
      <c r="AY85" s="355"/>
      <c r="AZ85" s="354"/>
      <c r="BA85" s="355"/>
      <c r="BB85" s="355"/>
      <c r="BC85" s="285">
        <f t="shared" si="157"/>
        <v>31200</v>
      </c>
    </row>
    <row r="86" spans="1:55" ht="15" thickBot="1" x14ac:dyDescent="0.35">
      <c r="A86" s="194" t="s">
        <v>163</v>
      </c>
      <c r="B86" s="195" t="s">
        <v>30</v>
      </c>
      <c r="C86" s="198" t="s">
        <v>58</v>
      </c>
      <c r="D86" s="199"/>
      <c r="E86" s="143" t="s">
        <v>99</v>
      </c>
      <c r="F86" s="200" t="s">
        <v>4</v>
      </c>
      <c r="G86" s="201">
        <v>44409</v>
      </c>
      <c r="H86" s="229"/>
      <c r="I86" s="229"/>
      <c r="J86" s="229"/>
      <c r="K86" s="230" t="s">
        <v>12</v>
      </c>
      <c r="L86" s="318">
        <v>44409</v>
      </c>
      <c r="M86" s="318">
        <v>44834</v>
      </c>
      <c r="N86" s="317"/>
      <c r="O86" s="144"/>
      <c r="P86" s="144"/>
      <c r="Q86" s="203">
        <v>10000</v>
      </c>
      <c r="R86" s="195" t="s">
        <v>30</v>
      </c>
      <c r="S86" s="254">
        <v>400</v>
      </c>
      <c r="T86" s="255">
        <v>20</v>
      </c>
      <c r="U86" s="280">
        <f t="shared" si="166"/>
        <v>8000</v>
      </c>
      <c r="V86" s="254">
        <v>400</v>
      </c>
      <c r="W86" s="255">
        <v>25</v>
      </c>
      <c r="X86" s="280">
        <f t="shared" ref="X86:X116" si="173">V86*W86</f>
        <v>10000</v>
      </c>
      <c r="Y86" s="254">
        <v>400</v>
      </c>
      <c r="Z86" s="255">
        <v>25</v>
      </c>
      <c r="AA86" s="280">
        <f t="shared" ref="AA86:AA116" si="174">Y86*Z86</f>
        <v>10000</v>
      </c>
      <c r="AB86" s="254">
        <v>400</v>
      </c>
      <c r="AC86" s="255">
        <v>25</v>
      </c>
      <c r="AD86" s="280">
        <f t="shared" ref="AD86:AD116" si="175">AB86*AC86</f>
        <v>10000</v>
      </c>
      <c r="AE86" s="254">
        <v>400</v>
      </c>
      <c r="AF86" s="255">
        <v>25</v>
      </c>
      <c r="AG86" s="280">
        <f t="shared" ref="AG86:AG116" si="176">AE86*AF86</f>
        <v>10000</v>
      </c>
      <c r="AH86" s="254">
        <v>400</v>
      </c>
      <c r="AI86" s="255">
        <v>25</v>
      </c>
      <c r="AJ86" s="280">
        <f t="shared" ref="AJ86:AJ116" si="177">AH86*AI86</f>
        <v>10000</v>
      </c>
      <c r="AK86" s="254">
        <v>400</v>
      </c>
      <c r="AL86" s="255">
        <v>25</v>
      </c>
      <c r="AM86" s="280">
        <f t="shared" ref="AM86:AM116" si="178">AK86*AL86</f>
        <v>10000</v>
      </c>
      <c r="AN86" s="254">
        <v>400</v>
      </c>
      <c r="AO86" s="255">
        <v>25</v>
      </c>
      <c r="AP86" s="280">
        <f t="shared" ref="AP86:AP116" si="179">AN86*AO86</f>
        <v>10000</v>
      </c>
      <c r="AQ86" s="254">
        <v>400</v>
      </c>
      <c r="AR86" s="255">
        <v>25</v>
      </c>
      <c r="AS86" s="280">
        <f t="shared" ref="AS86:AS116" si="180">AQ86*AR86</f>
        <v>10000</v>
      </c>
      <c r="AT86" s="354"/>
      <c r="AU86" s="355"/>
      <c r="AV86" s="355"/>
      <c r="AW86" s="354"/>
      <c r="AX86" s="355"/>
      <c r="AY86" s="355"/>
      <c r="AZ86" s="354"/>
      <c r="BA86" s="355"/>
      <c r="BB86" s="355"/>
      <c r="BC86" s="285">
        <f t="shared" si="157"/>
        <v>88000</v>
      </c>
    </row>
    <row r="87" spans="1:55" ht="15" thickBot="1" x14ac:dyDescent="0.35">
      <c r="A87" s="194" t="s">
        <v>165</v>
      </c>
      <c r="B87" s="195" t="s">
        <v>30</v>
      </c>
      <c r="C87" s="198" t="s">
        <v>58</v>
      </c>
      <c r="D87" s="199"/>
      <c r="E87" s="143" t="s">
        <v>98</v>
      </c>
      <c r="F87" s="200" t="s">
        <v>4</v>
      </c>
      <c r="G87" s="201">
        <v>44440</v>
      </c>
      <c r="H87" s="229"/>
      <c r="I87" s="229"/>
      <c r="J87" s="229"/>
      <c r="K87" s="316" t="s">
        <v>13</v>
      </c>
      <c r="L87" s="201">
        <v>44440</v>
      </c>
      <c r="M87" s="318">
        <v>44834</v>
      </c>
      <c r="N87" s="317"/>
      <c r="O87" s="144"/>
      <c r="P87" s="144"/>
      <c r="Q87" s="203">
        <v>5200</v>
      </c>
      <c r="R87" s="195" t="s">
        <v>30</v>
      </c>
      <c r="S87" s="254">
        <v>400</v>
      </c>
      <c r="T87" s="255">
        <v>20</v>
      </c>
      <c r="U87" s="280">
        <f t="shared" si="166"/>
        <v>8000</v>
      </c>
      <c r="V87" s="50"/>
      <c r="W87" s="252"/>
      <c r="X87" s="278"/>
      <c r="Y87" s="50"/>
      <c r="Z87" s="252"/>
      <c r="AA87" s="278"/>
      <c r="AB87" s="50"/>
      <c r="AC87" s="252"/>
      <c r="AD87" s="278"/>
      <c r="AE87" s="50"/>
      <c r="AF87" s="252"/>
      <c r="AG87" s="278"/>
      <c r="AH87" s="50"/>
      <c r="AI87" s="252"/>
      <c r="AJ87" s="278"/>
      <c r="AK87" s="50"/>
      <c r="AL87" s="252"/>
      <c r="AM87" s="278"/>
      <c r="AN87" s="50"/>
      <c r="AO87" s="252"/>
      <c r="AP87" s="278"/>
      <c r="AQ87" s="50"/>
      <c r="AR87" s="252"/>
      <c r="AS87" s="278"/>
      <c r="AT87" s="354"/>
      <c r="AU87" s="355"/>
      <c r="AV87" s="355"/>
      <c r="AW87" s="354"/>
      <c r="AX87" s="355"/>
      <c r="AY87" s="355"/>
      <c r="AZ87" s="354"/>
      <c r="BA87" s="355"/>
      <c r="BB87" s="355"/>
      <c r="BC87" s="285">
        <f t="shared" si="157"/>
        <v>8000</v>
      </c>
    </row>
    <row r="88" spans="1:55" ht="15" thickBot="1" x14ac:dyDescent="0.35">
      <c r="A88" s="194" t="s">
        <v>82</v>
      </c>
      <c r="B88" s="195" t="s">
        <v>30</v>
      </c>
      <c r="C88" s="198" t="s">
        <v>58</v>
      </c>
      <c r="D88" s="199"/>
      <c r="E88" s="143" t="s">
        <v>97</v>
      </c>
      <c r="F88" s="200" t="s">
        <v>4</v>
      </c>
      <c r="G88" s="201">
        <v>44136</v>
      </c>
      <c r="H88" s="229"/>
      <c r="I88" s="229"/>
      <c r="J88" s="229"/>
      <c r="K88" s="230" t="s">
        <v>12</v>
      </c>
      <c r="L88" s="318">
        <v>44136</v>
      </c>
      <c r="M88" s="318">
        <v>44834</v>
      </c>
      <c r="N88" s="317"/>
      <c r="O88" s="144"/>
      <c r="P88" s="144"/>
      <c r="Q88" s="203">
        <v>10000</v>
      </c>
      <c r="R88" s="195" t="s">
        <v>30</v>
      </c>
      <c r="S88" s="254">
        <v>400</v>
      </c>
      <c r="T88" s="255">
        <v>25</v>
      </c>
      <c r="U88" s="280">
        <f t="shared" si="166"/>
        <v>10000</v>
      </c>
      <c r="V88" s="254">
        <v>400</v>
      </c>
      <c r="W88" s="255">
        <v>25</v>
      </c>
      <c r="X88" s="280">
        <f t="shared" si="173"/>
        <v>10000</v>
      </c>
      <c r="Y88" s="254">
        <v>400</v>
      </c>
      <c r="Z88" s="255">
        <v>25</v>
      </c>
      <c r="AA88" s="280">
        <f t="shared" si="174"/>
        <v>10000</v>
      </c>
      <c r="AB88" s="254">
        <v>400</v>
      </c>
      <c r="AC88" s="255">
        <v>25</v>
      </c>
      <c r="AD88" s="280">
        <f t="shared" si="175"/>
        <v>10000</v>
      </c>
      <c r="AE88" s="254">
        <v>400</v>
      </c>
      <c r="AF88" s="255">
        <v>25</v>
      </c>
      <c r="AG88" s="280">
        <f t="shared" si="176"/>
        <v>10000</v>
      </c>
      <c r="AH88" s="254">
        <v>400</v>
      </c>
      <c r="AI88" s="255">
        <v>25</v>
      </c>
      <c r="AJ88" s="280">
        <f t="shared" si="177"/>
        <v>10000</v>
      </c>
      <c r="AK88" s="254">
        <v>400</v>
      </c>
      <c r="AL88" s="255">
        <v>25</v>
      </c>
      <c r="AM88" s="280">
        <f t="shared" si="178"/>
        <v>10000</v>
      </c>
      <c r="AN88" s="254">
        <v>400</v>
      </c>
      <c r="AO88" s="255">
        <v>25</v>
      </c>
      <c r="AP88" s="280">
        <f t="shared" si="179"/>
        <v>10000</v>
      </c>
      <c r="AQ88" s="254">
        <v>400</v>
      </c>
      <c r="AR88" s="255">
        <v>25</v>
      </c>
      <c r="AS88" s="280">
        <f t="shared" si="180"/>
        <v>10000</v>
      </c>
      <c r="AT88" s="354"/>
      <c r="AU88" s="355"/>
      <c r="AV88" s="355"/>
      <c r="AW88" s="354"/>
      <c r="AX88" s="355"/>
      <c r="AY88" s="355"/>
      <c r="AZ88" s="354"/>
      <c r="BA88" s="355"/>
      <c r="BB88" s="355"/>
      <c r="BC88" s="285">
        <f t="shared" si="157"/>
        <v>90000</v>
      </c>
    </row>
    <row r="89" spans="1:55" ht="15" thickBot="1" x14ac:dyDescent="0.35">
      <c r="A89" s="194" t="s">
        <v>152</v>
      </c>
      <c r="B89" s="195" t="s">
        <v>30</v>
      </c>
      <c r="C89" s="198" t="s">
        <v>58</v>
      </c>
      <c r="D89" s="199"/>
      <c r="E89" s="143" t="s">
        <v>153</v>
      </c>
      <c r="F89" s="200" t="s">
        <v>4</v>
      </c>
      <c r="G89" s="201">
        <v>44287</v>
      </c>
      <c r="H89" s="229"/>
      <c r="I89" s="229"/>
      <c r="J89" s="229"/>
      <c r="K89" s="316" t="s">
        <v>13</v>
      </c>
      <c r="L89" s="201">
        <v>44287</v>
      </c>
      <c r="M89" s="318">
        <v>44834</v>
      </c>
      <c r="N89" s="317"/>
      <c r="O89" s="144"/>
      <c r="P89" s="144"/>
      <c r="Q89" s="203">
        <v>10000</v>
      </c>
      <c r="R89" s="195" t="s">
        <v>30</v>
      </c>
      <c r="S89" s="50"/>
      <c r="T89" s="252"/>
      <c r="U89" s="278"/>
      <c r="V89" s="50"/>
      <c r="W89" s="252"/>
      <c r="X89" s="278"/>
      <c r="Y89" s="50"/>
      <c r="Z89" s="252"/>
      <c r="AA89" s="278"/>
      <c r="AB89" s="50"/>
      <c r="AC89" s="252"/>
      <c r="AD89" s="278"/>
      <c r="AE89" s="50"/>
      <c r="AF89" s="252"/>
      <c r="AG89" s="278"/>
      <c r="AH89" s="50"/>
      <c r="AI89" s="252"/>
      <c r="AJ89" s="278"/>
      <c r="AK89" s="50"/>
      <c r="AL89" s="252"/>
      <c r="AM89" s="278"/>
      <c r="AN89" s="50"/>
      <c r="AO89" s="252"/>
      <c r="AP89" s="278"/>
      <c r="AQ89" s="50"/>
      <c r="AR89" s="252"/>
      <c r="AS89" s="278"/>
      <c r="AT89" s="354"/>
      <c r="AU89" s="355"/>
      <c r="AV89" s="355"/>
      <c r="AW89" s="354"/>
      <c r="AX89" s="355"/>
      <c r="AY89" s="355"/>
      <c r="AZ89" s="354"/>
      <c r="BA89" s="355"/>
      <c r="BB89" s="355"/>
      <c r="BC89" s="285">
        <f t="shared" si="157"/>
        <v>0</v>
      </c>
    </row>
    <row r="90" spans="1:55" ht="15" thickBot="1" x14ac:dyDescent="0.35">
      <c r="A90" s="194" t="s">
        <v>70</v>
      </c>
      <c r="B90" s="195" t="s">
        <v>30</v>
      </c>
      <c r="C90" s="198" t="s">
        <v>58</v>
      </c>
      <c r="D90" s="199"/>
      <c r="E90" s="143" t="s">
        <v>96</v>
      </c>
      <c r="F90" s="200" t="s">
        <v>4</v>
      </c>
      <c r="G90" s="201">
        <v>44136</v>
      </c>
      <c r="H90" s="201"/>
      <c r="I90" s="229"/>
      <c r="J90" s="229"/>
      <c r="K90" s="316" t="s">
        <v>12</v>
      </c>
      <c r="L90" s="330">
        <v>44136</v>
      </c>
      <c r="M90" s="318">
        <v>44834</v>
      </c>
      <c r="N90" s="317"/>
      <c r="O90" s="144"/>
      <c r="P90" s="144"/>
      <c r="Q90" s="331">
        <v>5200</v>
      </c>
      <c r="R90" s="195" t="s">
        <v>30</v>
      </c>
      <c r="S90" s="254">
        <v>400</v>
      </c>
      <c r="T90" s="255">
        <v>13</v>
      </c>
      <c r="U90" s="280">
        <f>S90*T90</f>
        <v>5200</v>
      </c>
      <c r="V90" s="254">
        <v>400</v>
      </c>
      <c r="W90" s="255">
        <v>25</v>
      </c>
      <c r="X90" s="280">
        <f>V90*W90</f>
        <v>10000</v>
      </c>
      <c r="Y90" s="254">
        <v>400</v>
      </c>
      <c r="Z90" s="255">
        <v>25</v>
      </c>
      <c r="AA90" s="280">
        <f>Y90*Z90</f>
        <v>10000</v>
      </c>
      <c r="AB90" s="254">
        <v>400</v>
      </c>
      <c r="AC90" s="255">
        <v>25</v>
      </c>
      <c r="AD90" s="280">
        <f t="shared" ref="AD90" si="181">AB90*AC90</f>
        <v>10000</v>
      </c>
      <c r="AE90" s="254">
        <v>400</v>
      </c>
      <c r="AF90" s="255">
        <v>25</v>
      </c>
      <c r="AG90" s="280">
        <f t="shared" ref="AG90" si="182">AE90*AF90</f>
        <v>10000</v>
      </c>
      <c r="AH90" s="254">
        <v>400</v>
      </c>
      <c r="AI90" s="255">
        <v>25</v>
      </c>
      <c r="AJ90" s="280">
        <f t="shared" ref="AJ90" si="183">AH90*AI90</f>
        <v>10000</v>
      </c>
      <c r="AK90" s="254">
        <v>400</v>
      </c>
      <c r="AL90" s="255">
        <v>25</v>
      </c>
      <c r="AM90" s="280">
        <f t="shared" si="178"/>
        <v>10000</v>
      </c>
      <c r="AN90" s="254">
        <v>400</v>
      </c>
      <c r="AO90" s="255">
        <v>25</v>
      </c>
      <c r="AP90" s="280">
        <f t="shared" si="179"/>
        <v>10000</v>
      </c>
      <c r="AQ90" s="254">
        <v>400</v>
      </c>
      <c r="AR90" s="255">
        <v>25</v>
      </c>
      <c r="AS90" s="280">
        <f t="shared" ref="AS90" si="184">AQ90*AR90</f>
        <v>10000</v>
      </c>
      <c r="AT90" s="354"/>
      <c r="AU90" s="355"/>
      <c r="AV90" s="355"/>
      <c r="AW90" s="354"/>
      <c r="AX90" s="355"/>
      <c r="AY90" s="355"/>
      <c r="AZ90" s="354"/>
      <c r="BA90" s="355"/>
      <c r="BB90" s="355"/>
      <c r="BC90" s="285">
        <f>SUM(U90,X90,AA90,AD90,AG90,AJ90,AM90,AP90,AS90,AV90,AY90,BB90)</f>
        <v>85200</v>
      </c>
    </row>
    <row r="91" spans="1:55" ht="15" thickBot="1" x14ac:dyDescent="0.35">
      <c r="A91" s="194" t="s">
        <v>83</v>
      </c>
      <c r="B91" s="195" t="s">
        <v>30</v>
      </c>
      <c r="C91" s="198" t="s">
        <v>58</v>
      </c>
      <c r="D91" s="199"/>
      <c r="E91" s="143" t="s">
        <v>97</v>
      </c>
      <c r="F91" s="200" t="s">
        <v>4</v>
      </c>
      <c r="G91" s="201">
        <v>44136</v>
      </c>
      <c r="H91" s="229"/>
      <c r="I91" s="229"/>
      <c r="J91" s="229"/>
      <c r="K91" s="230" t="s">
        <v>12</v>
      </c>
      <c r="L91" s="318">
        <v>44136</v>
      </c>
      <c r="M91" s="318">
        <v>44834</v>
      </c>
      <c r="N91" s="317"/>
      <c r="O91" s="144"/>
      <c r="P91" s="144"/>
      <c r="Q91" s="203">
        <v>5200</v>
      </c>
      <c r="R91" s="195" t="s">
        <v>30</v>
      </c>
      <c r="S91" s="254">
        <v>400</v>
      </c>
      <c r="T91" s="255">
        <v>13</v>
      </c>
      <c r="U91" s="280">
        <f t="shared" si="166"/>
        <v>5200</v>
      </c>
      <c r="V91" s="50"/>
      <c r="W91" s="252"/>
      <c r="X91" s="278"/>
      <c r="Y91" s="50"/>
      <c r="Z91" s="252"/>
      <c r="AA91" s="278"/>
      <c r="AB91" s="50"/>
      <c r="AC91" s="252"/>
      <c r="AD91" s="278"/>
      <c r="AE91" s="50"/>
      <c r="AF91" s="252"/>
      <c r="AG91" s="278"/>
      <c r="AH91" s="50"/>
      <c r="AI91" s="252"/>
      <c r="AJ91" s="278"/>
      <c r="AK91" s="50"/>
      <c r="AL91" s="252"/>
      <c r="AM91" s="278"/>
      <c r="AN91" s="50"/>
      <c r="AO91" s="252"/>
      <c r="AP91" s="278"/>
      <c r="AQ91" s="50"/>
      <c r="AR91" s="252"/>
      <c r="AS91" s="278"/>
      <c r="AT91" s="354"/>
      <c r="AU91" s="355"/>
      <c r="AV91" s="355"/>
      <c r="AW91" s="354"/>
      <c r="AX91" s="355"/>
      <c r="AY91" s="355"/>
      <c r="AZ91" s="354"/>
      <c r="BA91" s="355"/>
      <c r="BB91" s="355"/>
      <c r="BC91" s="285">
        <f t="shared" si="157"/>
        <v>5200</v>
      </c>
    </row>
    <row r="92" spans="1:55" ht="15" thickBot="1" x14ac:dyDescent="0.35">
      <c r="A92" s="194" t="s">
        <v>180</v>
      </c>
      <c r="B92" s="195" t="s">
        <v>30</v>
      </c>
      <c r="C92" s="198" t="s">
        <v>58</v>
      </c>
      <c r="D92" s="199"/>
      <c r="E92" s="143" t="s">
        <v>99</v>
      </c>
      <c r="F92" s="200" t="s">
        <v>4</v>
      </c>
      <c r="G92" s="201">
        <v>44621</v>
      </c>
      <c r="H92" s="229"/>
      <c r="I92" s="229"/>
      <c r="J92" s="229"/>
      <c r="K92" s="230" t="s">
        <v>12</v>
      </c>
      <c r="L92" s="318">
        <v>44621</v>
      </c>
      <c r="M92" s="318">
        <v>44834</v>
      </c>
      <c r="N92" s="317"/>
      <c r="O92" s="144"/>
      <c r="P92" s="144"/>
      <c r="Q92" s="203">
        <v>10000</v>
      </c>
      <c r="R92" s="195" t="s">
        <v>30</v>
      </c>
      <c r="S92" s="50"/>
      <c r="T92" s="252"/>
      <c r="U92" s="278"/>
      <c r="V92" s="50"/>
      <c r="W92" s="252"/>
      <c r="X92" s="278"/>
      <c r="Y92" s="254">
        <v>400</v>
      </c>
      <c r="Z92" s="255">
        <v>25</v>
      </c>
      <c r="AA92" s="280">
        <f t="shared" si="174"/>
        <v>10000</v>
      </c>
      <c r="AB92" s="254">
        <v>400</v>
      </c>
      <c r="AC92" s="255">
        <v>25</v>
      </c>
      <c r="AD92" s="280">
        <f t="shared" si="175"/>
        <v>10000</v>
      </c>
      <c r="AE92" s="254">
        <v>400</v>
      </c>
      <c r="AF92" s="255">
        <v>25</v>
      </c>
      <c r="AG92" s="280">
        <f t="shared" si="176"/>
        <v>10000</v>
      </c>
      <c r="AH92" s="254">
        <v>400</v>
      </c>
      <c r="AI92" s="255">
        <v>25</v>
      </c>
      <c r="AJ92" s="280">
        <f t="shared" si="177"/>
        <v>10000</v>
      </c>
      <c r="AK92" s="254">
        <v>400</v>
      </c>
      <c r="AL92" s="255">
        <v>25</v>
      </c>
      <c r="AM92" s="280">
        <f t="shared" si="178"/>
        <v>10000</v>
      </c>
      <c r="AN92" s="254">
        <v>400</v>
      </c>
      <c r="AO92" s="255">
        <v>25</v>
      </c>
      <c r="AP92" s="280">
        <f t="shared" si="179"/>
        <v>10000</v>
      </c>
      <c r="AQ92" s="254">
        <v>400</v>
      </c>
      <c r="AR92" s="255">
        <v>25</v>
      </c>
      <c r="AS92" s="280">
        <f t="shared" si="180"/>
        <v>10000</v>
      </c>
      <c r="AT92" s="354"/>
      <c r="AU92" s="355"/>
      <c r="AV92" s="355"/>
      <c r="AW92" s="354"/>
      <c r="AX92" s="355"/>
      <c r="AY92" s="355"/>
      <c r="AZ92" s="354"/>
      <c r="BA92" s="355"/>
      <c r="BB92" s="355"/>
      <c r="BC92" s="285">
        <f t="shared" si="157"/>
        <v>70000</v>
      </c>
    </row>
    <row r="93" spans="1:55" ht="15" thickBot="1" x14ac:dyDescent="0.35">
      <c r="A93" s="194" t="s">
        <v>84</v>
      </c>
      <c r="B93" s="195" t="s">
        <v>30</v>
      </c>
      <c r="C93" s="198" t="s">
        <v>58</v>
      </c>
      <c r="D93" s="199"/>
      <c r="E93" s="143" t="s">
        <v>98</v>
      </c>
      <c r="F93" s="200" t="s">
        <v>4</v>
      </c>
      <c r="G93" s="201">
        <v>44136</v>
      </c>
      <c r="H93" s="229"/>
      <c r="I93" s="229"/>
      <c r="J93" s="229"/>
      <c r="K93" s="230" t="s">
        <v>12</v>
      </c>
      <c r="L93" s="318">
        <v>44136</v>
      </c>
      <c r="M93" s="318">
        <v>44834</v>
      </c>
      <c r="N93" s="317"/>
      <c r="O93" s="144"/>
      <c r="P93" s="144"/>
      <c r="Q93" s="203">
        <v>10000</v>
      </c>
      <c r="R93" s="195" t="s">
        <v>30</v>
      </c>
      <c r="S93" s="254">
        <v>400</v>
      </c>
      <c r="T93" s="255">
        <v>25</v>
      </c>
      <c r="U93" s="280">
        <f t="shared" si="166"/>
        <v>10000</v>
      </c>
      <c r="V93" s="254">
        <v>400</v>
      </c>
      <c r="W93" s="255">
        <v>25</v>
      </c>
      <c r="X93" s="280">
        <f t="shared" si="173"/>
        <v>10000</v>
      </c>
      <c r="Y93" s="254">
        <v>400</v>
      </c>
      <c r="Z93" s="255">
        <v>25</v>
      </c>
      <c r="AA93" s="280">
        <f t="shared" si="174"/>
        <v>10000</v>
      </c>
      <c r="AB93" s="254">
        <v>400</v>
      </c>
      <c r="AC93" s="255">
        <v>25</v>
      </c>
      <c r="AD93" s="280">
        <f t="shared" si="175"/>
        <v>10000</v>
      </c>
      <c r="AE93" s="254">
        <v>400</v>
      </c>
      <c r="AF93" s="255">
        <v>25</v>
      </c>
      <c r="AG93" s="280">
        <f t="shared" si="176"/>
        <v>10000</v>
      </c>
      <c r="AH93" s="254">
        <v>400</v>
      </c>
      <c r="AI93" s="255">
        <v>25</v>
      </c>
      <c r="AJ93" s="280">
        <f t="shared" si="177"/>
        <v>10000</v>
      </c>
      <c r="AK93" s="254">
        <v>400</v>
      </c>
      <c r="AL93" s="255">
        <v>25</v>
      </c>
      <c r="AM93" s="280">
        <f t="shared" si="178"/>
        <v>10000</v>
      </c>
      <c r="AN93" s="254">
        <v>400</v>
      </c>
      <c r="AO93" s="255">
        <v>25</v>
      </c>
      <c r="AP93" s="280">
        <f t="shared" si="179"/>
        <v>10000</v>
      </c>
      <c r="AQ93" s="254">
        <v>400</v>
      </c>
      <c r="AR93" s="255">
        <v>25</v>
      </c>
      <c r="AS93" s="280">
        <f t="shared" si="180"/>
        <v>10000</v>
      </c>
      <c r="AT93" s="354"/>
      <c r="AU93" s="355"/>
      <c r="AV93" s="355"/>
      <c r="AW93" s="354"/>
      <c r="AX93" s="355"/>
      <c r="AY93" s="355"/>
      <c r="AZ93" s="354"/>
      <c r="BA93" s="355"/>
      <c r="BB93" s="355"/>
      <c r="BC93" s="285">
        <f t="shared" si="157"/>
        <v>90000</v>
      </c>
    </row>
    <row r="94" spans="1:55" ht="15" thickBot="1" x14ac:dyDescent="0.35">
      <c r="A94" s="194" t="s">
        <v>85</v>
      </c>
      <c r="B94" s="195" t="s">
        <v>30</v>
      </c>
      <c r="C94" s="198" t="s">
        <v>58</v>
      </c>
      <c r="D94" s="199"/>
      <c r="E94" s="143" t="s">
        <v>96</v>
      </c>
      <c r="F94" s="200" t="s">
        <v>4</v>
      </c>
      <c r="G94" s="201">
        <v>44136</v>
      </c>
      <c r="H94" s="229"/>
      <c r="I94" s="229"/>
      <c r="J94" s="229"/>
      <c r="K94" s="230" t="s">
        <v>13</v>
      </c>
      <c r="L94" s="318">
        <v>44136</v>
      </c>
      <c r="M94" s="318">
        <v>44834</v>
      </c>
      <c r="N94" s="317"/>
      <c r="O94" s="144"/>
      <c r="P94" s="144"/>
      <c r="Q94" s="203">
        <v>5200</v>
      </c>
      <c r="R94" s="195" t="s">
        <v>30</v>
      </c>
      <c r="S94" s="254">
        <v>400</v>
      </c>
      <c r="T94" s="255">
        <v>13</v>
      </c>
      <c r="U94" s="280">
        <f t="shared" si="166"/>
        <v>5200</v>
      </c>
      <c r="V94" s="254">
        <v>400</v>
      </c>
      <c r="W94" s="255">
        <v>25</v>
      </c>
      <c r="X94" s="280">
        <f t="shared" si="173"/>
        <v>10000</v>
      </c>
      <c r="Y94" s="254">
        <v>400</v>
      </c>
      <c r="Z94" s="255">
        <v>25</v>
      </c>
      <c r="AA94" s="280">
        <f t="shared" si="174"/>
        <v>10000</v>
      </c>
      <c r="AB94" s="254">
        <v>400</v>
      </c>
      <c r="AC94" s="255">
        <v>25</v>
      </c>
      <c r="AD94" s="280">
        <f t="shared" si="175"/>
        <v>10000</v>
      </c>
      <c r="AE94" s="254">
        <v>400</v>
      </c>
      <c r="AF94" s="255">
        <v>25</v>
      </c>
      <c r="AG94" s="280">
        <f t="shared" si="176"/>
        <v>10000</v>
      </c>
      <c r="AH94" s="254">
        <v>400</v>
      </c>
      <c r="AI94" s="255">
        <v>25</v>
      </c>
      <c r="AJ94" s="280">
        <f t="shared" si="177"/>
        <v>10000</v>
      </c>
      <c r="AK94" s="254">
        <v>400</v>
      </c>
      <c r="AL94" s="255">
        <v>25</v>
      </c>
      <c r="AM94" s="280">
        <f t="shared" si="178"/>
        <v>10000</v>
      </c>
      <c r="AN94" s="254">
        <v>400</v>
      </c>
      <c r="AO94" s="255">
        <v>25</v>
      </c>
      <c r="AP94" s="280">
        <f t="shared" si="179"/>
        <v>10000</v>
      </c>
      <c r="AQ94" s="254">
        <v>400</v>
      </c>
      <c r="AR94" s="255">
        <v>25</v>
      </c>
      <c r="AS94" s="280">
        <f t="shared" si="180"/>
        <v>10000</v>
      </c>
      <c r="AT94" s="354"/>
      <c r="AU94" s="355"/>
      <c r="AV94" s="355"/>
      <c r="AW94" s="354"/>
      <c r="AX94" s="355"/>
      <c r="AY94" s="355"/>
      <c r="AZ94" s="354"/>
      <c r="BA94" s="355"/>
      <c r="BB94" s="355"/>
      <c r="BC94" s="285">
        <f t="shared" si="157"/>
        <v>85200</v>
      </c>
    </row>
    <row r="95" spans="1:55" ht="15" thickBot="1" x14ac:dyDescent="0.35">
      <c r="A95" s="194" t="s">
        <v>86</v>
      </c>
      <c r="B95" s="195" t="s">
        <v>30</v>
      </c>
      <c r="C95" s="198" t="s">
        <v>58</v>
      </c>
      <c r="D95" s="199"/>
      <c r="E95" s="143" t="s">
        <v>96</v>
      </c>
      <c r="F95" s="200" t="s">
        <v>4</v>
      </c>
      <c r="G95" s="201">
        <v>44136</v>
      </c>
      <c r="H95" s="229"/>
      <c r="I95" s="229"/>
      <c r="J95" s="229"/>
      <c r="K95" s="230" t="s">
        <v>12</v>
      </c>
      <c r="L95" s="318">
        <v>44136</v>
      </c>
      <c r="M95" s="318">
        <v>44834</v>
      </c>
      <c r="N95" s="317"/>
      <c r="O95" s="144"/>
      <c r="P95" s="144"/>
      <c r="Q95" s="203">
        <v>5200</v>
      </c>
      <c r="R95" s="195" t="s">
        <v>30</v>
      </c>
      <c r="S95" s="254">
        <v>400</v>
      </c>
      <c r="T95" s="255">
        <v>13</v>
      </c>
      <c r="U95" s="275">
        <f t="shared" si="166"/>
        <v>5200</v>
      </c>
      <c r="V95" s="254">
        <v>400</v>
      </c>
      <c r="W95" s="255">
        <v>13</v>
      </c>
      <c r="X95" s="275">
        <f t="shared" si="173"/>
        <v>5200</v>
      </c>
      <c r="Y95" s="254">
        <v>400</v>
      </c>
      <c r="Z95" s="255">
        <v>13</v>
      </c>
      <c r="AA95" s="275">
        <f t="shared" si="174"/>
        <v>5200</v>
      </c>
      <c r="AB95" s="254">
        <v>400</v>
      </c>
      <c r="AC95" s="255">
        <v>13</v>
      </c>
      <c r="AD95" s="275">
        <f t="shared" si="175"/>
        <v>5200</v>
      </c>
      <c r="AE95" s="254">
        <v>400</v>
      </c>
      <c r="AF95" s="255">
        <v>13</v>
      </c>
      <c r="AG95" s="275">
        <f t="shared" si="176"/>
        <v>5200</v>
      </c>
      <c r="AH95" s="254">
        <v>400</v>
      </c>
      <c r="AI95" s="255">
        <v>13</v>
      </c>
      <c r="AJ95" s="275">
        <f t="shared" si="177"/>
        <v>5200</v>
      </c>
      <c r="AK95" s="254">
        <v>400</v>
      </c>
      <c r="AL95" s="255">
        <v>13</v>
      </c>
      <c r="AM95" s="275">
        <f t="shared" si="178"/>
        <v>5200</v>
      </c>
      <c r="AN95" s="254">
        <v>400</v>
      </c>
      <c r="AO95" s="255">
        <v>13</v>
      </c>
      <c r="AP95" s="275">
        <f t="shared" si="179"/>
        <v>5200</v>
      </c>
      <c r="AQ95" s="254">
        <v>400</v>
      </c>
      <c r="AR95" s="255">
        <v>13</v>
      </c>
      <c r="AS95" s="275">
        <f t="shared" si="180"/>
        <v>5200</v>
      </c>
      <c r="AT95" s="354"/>
      <c r="AU95" s="355"/>
      <c r="AV95" s="355"/>
      <c r="AW95" s="354"/>
      <c r="AX95" s="355"/>
      <c r="AY95" s="355"/>
      <c r="AZ95" s="354"/>
      <c r="BA95" s="355"/>
      <c r="BB95" s="355"/>
      <c r="BC95" s="285">
        <f t="shared" si="157"/>
        <v>46800</v>
      </c>
    </row>
    <row r="96" spans="1:55" ht="15" thickBot="1" x14ac:dyDescent="0.35">
      <c r="A96" s="194" t="s">
        <v>87</v>
      </c>
      <c r="B96" s="195" t="s">
        <v>30</v>
      </c>
      <c r="C96" s="198" t="s">
        <v>58</v>
      </c>
      <c r="D96" s="199"/>
      <c r="E96" s="143" t="s">
        <v>106</v>
      </c>
      <c r="F96" s="200" t="s">
        <v>4</v>
      </c>
      <c r="G96" s="201">
        <v>44136</v>
      </c>
      <c r="H96" s="229"/>
      <c r="I96" s="229"/>
      <c r="J96" s="229"/>
      <c r="K96" s="230" t="s">
        <v>13</v>
      </c>
      <c r="L96" s="318">
        <v>44136</v>
      </c>
      <c r="M96" s="318">
        <v>44834</v>
      </c>
      <c r="N96" s="317"/>
      <c r="O96" s="144"/>
      <c r="P96" s="144"/>
      <c r="Q96" s="203">
        <v>5200</v>
      </c>
      <c r="R96" s="195" t="s">
        <v>30</v>
      </c>
      <c r="S96" s="254">
        <v>400</v>
      </c>
      <c r="T96" s="255">
        <v>13</v>
      </c>
      <c r="U96" s="280">
        <f t="shared" si="166"/>
        <v>5200</v>
      </c>
      <c r="V96" s="254">
        <v>400</v>
      </c>
      <c r="W96" s="255">
        <v>13</v>
      </c>
      <c r="X96" s="280">
        <f t="shared" si="173"/>
        <v>5200</v>
      </c>
      <c r="Y96" s="254">
        <v>400</v>
      </c>
      <c r="Z96" s="255">
        <v>13</v>
      </c>
      <c r="AA96" s="280">
        <f t="shared" si="174"/>
        <v>5200</v>
      </c>
      <c r="AB96" s="254">
        <v>400</v>
      </c>
      <c r="AC96" s="255">
        <v>13</v>
      </c>
      <c r="AD96" s="280">
        <f t="shared" si="175"/>
        <v>5200</v>
      </c>
      <c r="AE96" s="254">
        <v>400</v>
      </c>
      <c r="AF96" s="255">
        <v>13</v>
      </c>
      <c r="AG96" s="280">
        <f t="shared" si="176"/>
        <v>5200</v>
      </c>
      <c r="AH96" s="254">
        <v>400</v>
      </c>
      <c r="AI96" s="255">
        <v>13</v>
      </c>
      <c r="AJ96" s="280">
        <f t="shared" si="177"/>
        <v>5200</v>
      </c>
      <c r="AK96" s="254">
        <v>400</v>
      </c>
      <c r="AL96" s="255">
        <v>13</v>
      </c>
      <c r="AM96" s="280">
        <f t="shared" si="178"/>
        <v>5200</v>
      </c>
      <c r="AN96" s="254">
        <v>400</v>
      </c>
      <c r="AO96" s="255">
        <v>13</v>
      </c>
      <c r="AP96" s="280">
        <f t="shared" si="179"/>
        <v>5200</v>
      </c>
      <c r="AQ96" s="254">
        <v>400</v>
      </c>
      <c r="AR96" s="255">
        <v>13</v>
      </c>
      <c r="AS96" s="280">
        <f t="shared" si="180"/>
        <v>5200</v>
      </c>
      <c r="AT96" s="354"/>
      <c r="AU96" s="355"/>
      <c r="AV96" s="355"/>
      <c r="AW96" s="354"/>
      <c r="AX96" s="355"/>
      <c r="AY96" s="355"/>
      <c r="AZ96" s="354"/>
      <c r="BA96" s="355"/>
      <c r="BB96" s="355"/>
      <c r="BC96" s="285">
        <f t="shared" si="157"/>
        <v>46800</v>
      </c>
    </row>
    <row r="97" spans="1:55" ht="15" thickBot="1" x14ac:dyDescent="0.35">
      <c r="A97" s="194" t="s">
        <v>185</v>
      </c>
      <c r="B97" s="195" t="s">
        <v>30</v>
      </c>
      <c r="C97" s="198" t="s">
        <v>58</v>
      </c>
      <c r="D97" s="199"/>
      <c r="E97" s="143" t="s">
        <v>98</v>
      </c>
      <c r="F97" s="200" t="s">
        <v>4</v>
      </c>
      <c r="G97" s="201">
        <v>44652</v>
      </c>
      <c r="H97" s="229"/>
      <c r="I97" s="229"/>
      <c r="J97" s="229"/>
      <c r="K97" s="230" t="s">
        <v>12</v>
      </c>
      <c r="L97" s="318">
        <v>44652</v>
      </c>
      <c r="M97" s="318">
        <v>44834</v>
      </c>
      <c r="N97" s="317"/>
      <c r="O97" s="144"/>
      <c r="P97" s="144"/>
      <c r="Q97" s="203">
        <v>5200</v>
      </c>
      <c r="R97" s="195" t="s">
        <v>30</v>
      </c>
      <c r="S97" s="50"/>
      <c r="T97" s="252"/>
      <c r="U97" s="278"/>
      <c r="V97" s="50"/>
      <c r="W97" s="252"/>
      <c r="X97" s="278"/>
      <c r="Y97" s="50"/>
      <c r="Z97" s="252"/>
      <c r="AA97" s="278"/>
      <c r="AB97" s="254">
        <v>400</v>
      </c>
      <c r="AC97" s="255">
        <v>13</v>
      </c>
      <c r="AD97" s="280">
        <f t="shared" ref="AD97" si="185">AB97*AC97</f>
        <v>5200</v>
      </c>
      <c r="AE97" s="254">
        <v>400</v>
      </c>
      <c r="AF97" s="255">
        <v>13</v>
      </c>
      <c r="AG97" s="280">
        <f t="shared" si="176"/>
        <v>5200</v>
      </c>
      <c r="AH97" s="254">
        <v>400</v>
      </c>
      <c r="AI97" s="255">
        <v>13</v>
      </c>
      <c r="AJ97" s="280">
        <f t="shared" si="177"/>
        <v>5200</v>
      </c>
      <c r="AK97" s="254">
        <v>400</v>
      </c>
      <c r="AL97" s="255">
        <v>13</v>
      </c>
      <c r="AM97" s="280">
        <f t="shared" si="178"/>
        <v>5200</v>
      </c>
      <c r="AN97" s="254">
        <v>400</v>
      </c>
      <c r="AO97" s="255">
        <v>13</v>
      </c>
      <c r="AP97" s="280">
        <f t="shared" si="179"/>
        <v>5200</v>
      </c>
      <c r="AQ97" s="254">
        <v>400</v>
      </c>
      <c r="AR97" s="255">
        <v>13</v>
      </c>
      <c r="AS97" s="280">
        <f t="shared" si="180"/>
        <v>5200</v>
      </c>
      <c r="AT97" s="354"/>
      <c r="AU97" s="355"/>
      <c r="AV97" s="355"/>
      <c r="AW97" s="354"/>
      <c r="AX97" s="355"/>
      <c r="AY97" s="355"/>
      <c r="AZ97" s="354"/>
      <c r="BA97" s="355"/>
      <c r="BB97" s="355"/>
      <c r="BC97" s="285">
        <f t="shared" si="157"/>
        <v>31200</v>
      </c>
    </row>
    <row r="98" spans="1:55" ht="15" thickBot="1" x14ac:dyDescent="0.35">
      <c r="A98" s="194" t="s">
        <v>166</v>
      </c>
      <c r="B98" s="195" t="s">
        <v>30</v>
      </c>
      <c r="C98" s="198" t="s">
        <v>58</v>
      </c>
      <c r="D98" s="199"/>
      <c r="E98" s="143" t="s">
        <v>107</v>
      </c>
      <c r="F98" s="200" t="s">
        <v>4</v>
      </c>
      <c r="G98" s="201">
        <v>44136</v>
      </c>
      <c r="H98" s="229"/>
      <c r="I98" s="229"/>
      <c r="J98" s="229"/>
      <c r="K98" s="230" t="s">
        <v>13</v>
      </c>
      <c r="L98" s="318">
        <v>44136</v>
      </c>
      <c r="M98" s="318">
        <v>44834</v>
      </c>
      <c r="N98" s="317"/>
      <c r="O98" s="144"/>
      <c r="P98" s="144"/>
      <c r="Q98" s="203">
        <v>5200</v>
      </c>
      <c r="R98" s="195" t="s">
        <v>30</v>
      </c>
      <c r="S98" s="254">
        <v>400</v>
      </c>
      <c r="T98" s="255">
        <v>13</v>
      </c>
      <c r="U98" s="280">
        <f t="shared" si="166"/>
        <v>5200</v>
      </c>
      <c r="V98" s="254">
        <v>400</v>
      </c>
      <c r="W98" s="255">
        <v>13</v>
      </c>
      <c r="X98" s="280">
        <f t="shared" si="173"/>
        <v>5200</v>
      </c>
      <c r="Y98" s="254">
        <v>400</v>
      </c>
      <c r="Z98" s="255">
        <v>13</v>
      </c>
      <c r="AA98" s="280">
        <f t="shared" si="174"/>
        <v>5200</v>
      </c>
      <c r="AB98" s="254">
        <v>400</v>
      </c>
      <c r="AC98" s="255">
        <v>13</v>
      </c>
      <c r="AD98" s="280">
        <f t="shared" si="175"/>
        <v>5200</v>
      </c>
      <c r="AE98" s="254">
        <v>400</v>
      </c>
      <c r="AF98" s="255">
        <v>13</v>
      </c>
      <c r="AG98" s="280">
        <f t="shared" si="176"/>
        <v>5200</v>
      </c>
      <c r="AH98" s="254">
        <v>400</v>
      </c>
      <c r="AI98" s="255">
        <v>13</v>
      </c>
      <c r="AJ98" s="280">
        <f t="shared" si="177"/>
        <v>5200</v>
      </c>
      <c r="AK98" s="254">
        <v>400</v>
      </c>
      <c r="AL98" s="255">
        <v>13</v>
      </c>
      <c r="AM98" s="280">
        <f t="shared" si="178"/>
        <v>5200</v>
      </c>
      <c r="AN98" s="254">
        <v>400</v>
      </c>
      <c r="AO98" s="255">
        <v>13</v>
      </c>
      <c r="AP98" s="280">
        <f t="shared" si="179"/>
        <v>5200</v>
      </c>
      <c r="AQ98" s="254">
        <v>400</v>
      </c>
      <c r="AR98" s="255">
        <v>13</v>
      </c>
      <c r="AS98" s="280">
        <f t="shared" si="180"/>
        <v>5200</v>
      </c>
      <c r="AT98" s="354"/>
      <c r="AU98" s="355"/>
      <c r="AV98" s="355"/>
      <c r="AW98" s="354"/>
      <c r="AX98" s="355"/>
      <c r="AY98" s="355"/>
      <c r="AZ98" s="354"/>
      <c r="BA98" s="355"/>
      <c r="BB98" s="355"/>
      <c r="BC98" s="285">
        <f t="shared" si="157"/>
        <v>46800</v>
      </c>
    </row>
    <row r="99" spans="1:55" ht="15" thickBot="1" x14ac:dyDescent="0.35">
      <c r="A99" s="194" t="s">
        <v>89</v>
      </c>
      <c r="B99" s="195" t="s">
        <v>30</v>
      </c>
      <c r="C99" s="198" t="s">
        <v>58</v>
      </c>
      <c r="D99" s="199"/>
      <c r="E99" s="143" t="s">
        <v>103</v>
      </c>
      <c r="F99" s="200" t="s">
        <v>4</v>
      </c>
      <c r="G99" s="201">
        <v>44136</v>
      </c>
      <c r="H99" s="229"/>
      <c r="I99" s="229"/>
      <c r="J99" s="229"/>
      <c r="K99" s="230" t="s">
        <v>12</v>
      </c>
      <c r="L99" s="318">
        <v>44136</v>
      </c>
      <c r="M99" s="318">
        <v>44834</v>
      </c>
      <c r="N99" s="317"/>
      <c r="O99" s="144"/>
      <c r="P99" s="144"/>
      <c r="Q99" s="203">
        <v>5200</v>
      </c>
      <c r="R99" s="195" t="s">
        <v>30</v>
      </c>
      <c r="S99" s="254">
        <v>400</v>
      </c>
      <c r="T99" s="255">
        <v>13</v>
      </c>
      <c r="U99" s="280">
        <f t="shared" si="166"/>
        <v>5200</v>
      </c>
      <c r="V99" s="254">
        <v>400</v>
      </c>
      <c r="W99" s="255">
        <v>13</v>
      </c>
      <c r="X99" s="280">
        <f t="shared" si="173"/>
        <v>5200</v>
      </c>
      <c r="Y99" s="254">
        <v>400</v>
      </c>
      <c r="Z99" s="255">
        <v>13</v>
      </c>
      <c r="AA99" s="280">
        <f t="shared" si="174"/>
        <v>5200</v>
      </c>
      <c r="AB99" s="254">
        <v>400</v>
      </c>
      <c r="AC99" s="255">
        <v>13</v>
      </c>
      <c r="AD99" s="280">
        <f t="shared" si="175"/>
        <v>5200</v>
      </c>
      <c r="AE99" s="254">
        <v>400</v>
      </c>
      <c r="AF99" s="255">
        <v>13</v>
      </c>
      <c r="AG99" s="280">
        <f t="shared" si="176"/>
        <v>5200</v>
      </c>
      <c r="AH99" s="254">
        <v>400</v>
      </c>
      <c r="AI99" s="255">
        <v>13</v>
      </c>
      <c r="AJ99" s="280">
        <f t="shared" si="177"/>
        <v>5200</v>
      </c>
      <c r="AK99" s="254">
        <v>400</v>
      </c>
      <c r="AL99" s="255">
        <v>13</v>
      </c>
      <c r="AM99" s="280">
        <f t="shared" si="178"/>
        <v>5200</v>
      </c>
      <c r="AN99" s="254">
        <v>400</v>
      </c>
      <c r="AO99" s="255">
        <v>13</v>
      </c>
      <c r="AP99" s="280">
        <f t="shared" si="179"/>
        <v>5200</v>
      </c>
      <c r="AQ99" s="254">
        <v>400</v>
      </c>
      <c r="AR99" s="255">
        <v>13</v>
      </c>
      <c r="AS99" s="280">
        <f t="shared" si="180"/>
        <v>5200</v>
      </c>
      <c r="AT99" s="354"/>
      <c r="AU99" s="355"/>
      <c r="AV99" s="355"/>
      <c r="AW99" s="354"/>
      <c r="AX99" s="355"/>
      <c r="AY99" s="355"/>
      <c r="AZ99" s="354"/>
      <c r="BA99" s="355"/>
      <c r="BB99" s="355"/>
      <c r="BC99" s="285">
        <f t="shared" si="157"/>
        <v>46800</v>
      </c>
    </row>
    <row r="100" spans="1:55" ht="15" thickBot="1" x14ac:dyDescent="0.35">
      <c r="A100" s="194" t="s">
        <v>150</v>
      </c>
      <c r="B100" s="195" t="s">
        <v>30</v>
      </c>
      <c r="C100" s="198" t="s">
        <v>58</v>
      </c>
      <c r="D100" s="199"/>
      <c r="E100" s="143" t="s">
        <v>151</v>
      </c>
      <c r="F100" s="200" t="s">
        <v>4</v>
      </c>
      <c r="G100" s="201">
        <v>44287</v>
      </c>
      <c r="H100" s="229"/>
      <c r="I100" s="229"/>
      <c r="J100" s="229"/>
      <c r="K100" s="230" t="s">
        <v>12</v>
      </c>
      <c r="L100" s="201">
        <v>44287</v>
      </c>
      <c r="M100" s="318">
        <v>44834</v>
      </c>
      <c r="N100" s="317"/>
      <c r="O100" s="144"/>
      <c r="P100" s="144"/>
      <c r="Q100" s="203">
        <v>5200</v>
      </c>
      <c r="R100" s="195" t="s">
        <v>30</v>
      </c>
      <c r="S100" s="50"/>
      <c r="T100" s="252"/>
      <c r="U100" s="278"/>
      <c r="V100" s="464"/>
      <c r="W100" s="465"/>
      <c r="X100" s="466"/>
      <c r="Y100" s="464"/>
      <c r="Z100" s="465"/>
      <c r="AA100" s="466"/>
      <c r="AB100" s="464"/>
      <c r="AC100" s="465"/>
      <c r="AD100" s="466"/>
      <c r="AE100" s="464"/>
      <c r="AF100" s="465"/>
      <c r="AG100" s="466"/>
      <c r="AH100" s="464"/>
      <c r="AI100" s="465"/>
      <c r="AJ100" s="466"/>
      <c r="AK100" s="464"/>
      <c r="AL100" s="465"/>
      <c r="AM100" s="466"/>
      <c r="AN100" s="464"/>
      <c r="AO100" s="465"/>
      <c r="AP100" s="466"/>
      <c r="AQ100" s="464"/>
      <c r="AR100" s="465"/>
      <c r="AS100" s="466"/>
      <c r="AT100" s="354"/>
      <c r="AU100" s="355"/>
      <c r="AV100" s="355"/>
      <c r="AW100" s="354"/>
      <c r="AX100" s="355"/>
      <c r="AY100" s="355"/>
      <c r="AZ100" s="354"/>
      <c r="BA100" s="355"/>
      <c r="BB100" s="355"/>
      <c r="BC100" s="285">
        <f t="shared" si="157"/>
        <v>0</v>
      </c>
    </row>
    <row r="101" spans="1:55" ht="15" thickBot="1" x14ac:dyDescent="0.35">
      <c r="A101" s="194" t="s">
        <v>90</v>
      </c>
      <c r="B101" s="195" t="s">
        <v>30</v>
      </c>
      <c r="C101" s="198" t="s">
        <v>58</v>
      </c>
      <c r="D101" s="199"/>
      <c r="E101" s="143" t="s">
        <v>97</v>
      </c>
      <c r="F101" s="200" t="s">
        <v>4</v>
      </c>
      <c r="G101" s="201">
        <v>44136</v>
      </c>
      <c r="H101" s="229"/>
      <c r="I101" s="229"/>
      <c r="J101" s="229"/>
      <c r="K101" s="230" t="s">
        <v>12</v>
      </c>
      <c r="L101" s="318">
        <v>44136</v>
      </c>
      <c r="M101" s="318">
        <v>44834</v>
      </c>
      <c r="N101" s="317"/>
      <c r="O101" s="144"/>
      <c r="P101" s="144"/>
      <c r="Q101" s="203">
        <v>10000</v>
      </c>
      <c r="R101" s="195" t="s">
        <v>30</v>
      </c>
      <c r="S101" s="254">
        <v>400</v>
      </c>
      <c r="T101" s="255">
        <v>13</v>
      </c>
      <c r="U101" s="280">
        <f t="shared" si="166"/>
        <v>5200</v>
      </c>
      <c r="V101" s="254">
        <v>400</v>
      </c>
      <c r="W101" s="255">
        <v>13</v>
      </c>
      <c r="X101" s="280">
        <f t="shared" si="173"/>
        <v>5200</v>
      </c>
      <c r="Y101" s="254">
        <v>400</v>
      </c>
      <c r="Z101" s="255">
        <v>25</v>
      </c>
      <c r="AA101" s="280">
        <f t="shared" si="174"/>
        <v>10000</v>
      </c>
      <c r="AB101" s="254">
        <v>400</v>
      </c>
      <c r="AC101" s="255">
        <v>25</v>
      </c>
      <c r="AD101" s="280">
        <f t="shared" ref="AD101" si="186">AB101*AC101</f>
        <v>10000</v>
      </c>
      <c r="AE101" s="254">
        <v>400</v>
      </c>
      <c r="AF101" s="255">
        <v>25</v>
      </c>
      <c r="AG101" s="280">
        <f t="shared" ref="AG101" si="187">AE101*AF101</f>
        <v>10000</v>
      </c>
      <c r="AH101" s="254">
        <v>400</v>
      </c>
      <c r="AI101" s="255">
        <v>25</v>
      </c>
      <c r="AJ101" s="280">
        <f t="shared" ref="AJ101" si="188">AH101*AI101</f>
        <v>10000</v>
      </c>
      <c r="AK101" s="254">
        <v>400</v>
      </c>
      <c r="AL101" s="255">
        <v>25</v>
      </c>
      <c r="AM101" s="280">
        <f t="shared" ref="AM101" si="189">AK101*AL101</f>
        <v>10000</v>
      </c>
      <c r="AN101" s="254">
        <v>400</v>
      </c>
      <c r="AO101" s="255">
        <v>25</v>
      </c>
      <c r="AP101" s="280">
        <f t="shared" ref="AP101" si="190">AN101*AO101</f>
        <v>10000</v>
      </c>
      <c r="AQ101" s="254">
        <v>400</v>
      </c>
      <c r="AR101" s="255">
        <v>25</v>
      </c>
      <c r="AS101" s="280">
        <f t="shared" ref="AS101" si="191">AQ101*AR101</f>
        <v>10000</v>
      </c>
      <c r="AT101" s="354"/>
      <c r="AU101" s="355"/>
      <c r="AV101" s="355"/>
      <c r="AW101" s="354"/>
      <c r="AX101" s="355"/>
      <c r="AY101" s="355"/>
      <c r="AZ101" s="354"/>
      <c r="BA101" s="355"/>
      <c r="BB101" s="355"/>
      <c r="BC101" s="285">
        <f t="shared" si="157"/>
        <v>80400</v>
      </c>
    </row>
    <row r="102" spans="1:55" ht="15" thickBot="1" x14ac:dyDescent="0.35">
      <c r="A102" s="194" t="s">
        <v>178</v>
      </c>
      <c r="B102" s="195" t="s">
        <v>30</v>
      </c>
      <c r="C102" s="198" t="s">
        <v>58</v>
      </c>
      <c r="D102" s="199"/>
      <c r="E102" s="143" t="s">
        <v>97</v>
      </c>
      <c r="F102" s="200" t="s">
        <v>4</v>
      </c>
      <c r="G102" s="201">
        <v>44562</v>
      </c>
      <c r="H102" s="229"/>
      <c r="I102" s="229"/>
      <c r="J102" s="229"/>
      <c r="K102" s="230" t="s">
        <v>12</v>
      </c>
      <c r="L102" s="318">
        <v>44562</v>
      </c>
      <c r="M102" s="318">
        <v>44834</v>
      </c>
      <c r="N102" s="317"/>
      <c r="O102" s="144"/>
      <c r="P102" s="144"/>
      <c r="Q102" s="203">
        <v>5200</v>
      </c>
      <c r="R102" s="195" t="s">
        <v>30</v>
      </c>
      <c r="S102" s="254">
        <v>400</v>
      </c>
      <c r="T102" s="255">
        <v>13</v>
      </c>
      <c r="U102" s="280">
        <f t="shared" si="166"/>
        <v>5200</v>
      </c>
      <c r="V102" s="254">
        <v>400</v>
      </c>
      <c r="W102" s="255">
        <v>13</v>
      </c>
      <c r="X102" s="280">
        <f t="shared" ref="X102" si="192">V102*W102</f>
        <v>5200</v>
      </c>
      <c r="Y102" s="254">
        <v>400</v>
      </c>
      <c r="Z102" s="255">
        <v>13</v>
      </c>
      <c r="AA102" s="280">
        <f t="shared" ref="AA102" si="193">Y102*Z102</f>
        <v>5200</v>
      </c>
      <c r="AB102" s="254">
        <v>400</v>
      </c>
      <c r="AC102" s="255">
        <v>13</v>
      </c>
      <c r="AD102" s="280">
        <f t="shared" ref="AD102" si="194">AB102*AC102</f>
        <v>5200</v>
      </c>
      <c r="AE102" s="254">
        <v>400</v>
      </c>
      <c r="AF102" s="255">
        <v>13</v>
      </c>
      <c r="AG102" s="280">
        <f t="shared" ref="AG102" si="195">AE102*AF102</f>
        <v>5200</v>
      </c>
      <c r="AH102" s="254">
        <v>400</v>
      </c>
      <c r="AI102" s="255">
        <v>13</v>
      </c>
      <c r="AJ102" s="280">
        <f t="shared" ref="AJ102" si="196">AH102*AI102</f>
        <v>5200</v>
      </c>
      <c r="AK102" s="254">
        <v>400</v>
      </c>
      <c r="AL102" s="255">
        <v>13</v>
      </c>
      <c r="AM102" s="280">
        <f t="shared" ref="AM102" si="197">AK102*AL102</f>
        <v>5200</v>
      </c>
      <c r="AN102" s="254">
        <v>400</v>
      </c>
      <c r="AO102" s="255">
        <v>13</v>
      </c>
      <c r="AP102" s="280">
        <f t="shared" ref="AP102" si="198">AN102*AO102</f>
        <v>5200</v>
      </c>
      <c r="AQ102" s="254">
        <v>400</v>
      </c>
      <c r="AR102" s="255">
        <v>13</v>
      </c>
      <c r="AS102" s="280">
        <f t="shared" ref="AS102" si="199">AQ102*AR102</f>
        <v>5200</v>
      </c>
      <c r="AT102" s="354"/>
      <c r="AU102" s="355"/>
      <c r="AV102" s="477"/>
      <c r="AW102" s="354"/>
      <c r="AX102" s="355"/>
      <c r="AY102" s="477"/>
      <c r="AZ102" s="354"/>
      <c r="BA102" s="355"/>
      <c r="BB102" s="477"/>
      <c r="BC102" s="285">
        <f t="shared" ref="BC102" si="200">SUM(U102,X102,AA102,AD102,AG102,AJ102,AM102,AP102,AS102,AV102,AY102,BB102)</f>
        <v>46800</v>
      </c>
    </row>
    <row r="103" spans="1:55" ht="15" thickBot="1" x14ac:dyDescent="0.35">
      <c r="A103" s="194" t="s">
        <v>169</v>
      </c>
      <c r="B103" s="195" t="s">
        <v>30</v>
      </c>
      <c r="C103" s="198" t="s">
        <v>58</v>
      </c>
      <c r="D103" s="199"/>
      <c r="E103" s="143" t="s">
        <v>97</v>
      </c>
      <c r="F103" s="200" t="s">
        <v>4</v>
      </c>
      <c r="G103" s="201">
        <v>44531</v>
      </c>
      <c r="H103" s="229"/>
      <c r="I103" s="229"/>
      <c r="J103" s="229"/>
      <c r="K103" s="230" t="s">
        <v>12</v>
      </c>
      <c r="L103" s="318">
        <v>44531</v>
      </c>
      <c r="M103" s="318">
        <v>44834</v>
      </c>
      <c r="N103" s="317"/>
      <c r="O103" s="144"/>
      <c r="P103" s="144"/>
      <c r="Q103" s="203">
        <v>5200</v>
      </c>
      <c r="R103" s="195" t="s">
        <v>30</v>
      </c>
      <c r="S103" s="254">
        <v>400</v>
      </c>
      <c r="T103" s="255">
        <v>13</v>
      </c>
      <c r="U103" s="280">
        <f t="shared" ref="U103" si="201">S103*T103</f>
        <v>5200</v>
      </c>
      <c r="V103" s="254">
        <v>400</v>
      </c>
      <c r="W103" s="255">
        <v>13</v>
      </c>
      <c r="X103" s="280">
        <f t="shared" si="173"/>
        <v>5200</v>
      </c>
      <c r="Y103" s="254">
        <v>400</v>
      </c>
      <c r="Z103" s="255">
        <v>13</v>
      </c>
      <c r="AA103" s="280">
        <f t="shared" si="174"/>
        <v>5200</v>
      </c>
      <c r="AB103" s="254">
        <v>400</v>
      </c>
      <c r="AC103" s="255">
        <v>13</v>
      </c>
      <c r="AD103" s="280">
        <f t="shared" si="175"/>
        <v>5200</v>
      </c>
      <c r="AE103" s="254">
        <v>400</v>
      </c>
      <c r="AF103" s="255">
        <v>13</v>
      </c>
      <c r="AG103" s="280">
        <f t="shared" si="176"/>
        <v>5200</v>
      </c>
      <c r="AH103" s="254">
        <v>400</v>
      </c>
      <c r="AI103" s="255">
        <v>13</v>
      </c>
      <c r="AJ103" s="280">
        <f t="shared" si="177"/>
        <v>5200</v>
      </c>
      <c r="AK103" s="254">
        <v>400</v>
      </c>
      <c r="AL103" s="255">
        <v>13</v>
      </c>
      <c r="AM103" s="280">
        <f t="shared" si="178"/>
        <v>5200</v>
      </c>
      <c r="AN103" s="254">
        <v>400</v>
      </c>
      <c r="AO103" s="255">
        <v>13</v>
      </c>
      <c r="AP103" s="280">
        <f t="shared" si="179"/>
        <v>5200</v>
      </c>
      <c r="AQ103" s="254">
        <v>400</v>
      </c>
      <c r="AR103" s="255">
        <v>13</v>
      </c>
      <c r="AS103" s="280">
        <f t="shared" si="180"/>
        <v>5200</v>
      </c>
      <c r="AT103" s="354"/>
      <c r="AU103" s="355"/>
      <c r="AV103" s="477"/>
      <c r="AW103" s="354"/>
      <c r="AX103" s="355"/>
      <c r="AY103" s="477"/>
      <c r="AZ103" s="354"/>
      <c r="BA103" s="355"/>
      <c r="BB103" s="477"/>
      <c r="BC103" s="285">
        <f t="shared" si="157"/>
        <v>46800</v>
      </c>
    </row>
    <row r="104" spans="1:55" ht="15" thickBot="1" x14ac:dyDescent="0.35">
      <c r="A104" s="462" t="s">
        <v>138</v>
      </c>
      <c r="B104" s="195" t="s">
        <v>32</v>
      </c>
      <c r="C104" s="198" t="s">
        <v>58</v>
      </c>
      <c r="D104" s="199"/>
      <c r="E104" s="143" t="s">
        <v>97</v>
      </c>
      <c r="F104" s="200" t="s">
        <v>5</v>
      </c>
      <c r="G104" s="201">
        <v>44197</v>
      </c>
      <c r="H104" s="229"/>
      <c r="I104" s="229"/>
      <c r="J104" s="229"/>
      <c r="K104" s="230" t="s">
        <v>12</v>
      </c>
      <c r="L104" s="318">
        <v>44197</v>
      </c>
      <c r="M104" s="318">
        <v>44926</v>
      </c>
      <c r="N104" s="317"/>
      <c r="O104" s="144"/>
      <c r="P104" s="144"/>
      <c r="Q104" s="203">
        <v>15200</v>
      </c>
      <c r="R104" s="204" t="s">
        <v>32</v>
      </c>
      <c r="S104" s="254">
        <v>400</v>
      </c>
      <c r="T104" s="255">
        <v>38</v>
      </c>
      <c r="U104" s="280">
        <f t="shared" si="166"/>
        <v>15200</v>
      </c>
      <c r="V104" s="254">
        <v>400</v>
      </c>
      <c r="W104" s="255">
        <v>38</v>
      </c>
      <c r="X104" s="280">
        <f t="shared" si="173"/>
        <v>15200</v>
      </c>
      <c r="Y104" s="254">
        <v>400</v>
      </c>
      <c r="Z104" s="255">
        <v>38</v>
      </c>
      <c r="AA104" s="280">
        <f t="shared" si="174"/>
        <v>15200</v>
      </c>
      <c r="AB104" s="254">
        <v>400</v>
      </c>
      <c r="AC104" s="255">
        <v>38</v>
      </c>
      <c r="AD104" s="280">
        <f t="shared" si="175"/>
        <v>15200</v>
      </c>
      <c r="AE104" s="254">
        <v>400</v>
      </c>
      <c r="AF104" s="255">
        <v>38</v>
      </c>
      <c r="AG104" s="280">
        <f t="shared" si="176"/>
        <v>15200</v>
      </c>
      <c r="AH104" s="254">
        <v>400</v>
      </c>
      <c r="AI104" s="255">
        <v>38</v>
      </c>
      <c r="AJ104" s="280">
        <f t="shared" si="177"/>
        <v>15200</v>
      </c>
      <c r="AK104" s="254">
        <v>400</v>
      </c>
      <c r="AL104" s="255">
        <v>38</v>
      </c>
      <c r="AM104" s="280">
        <f t="shared" si="178"/>
        <v>15200</v>
      </c>
      <c r="AN104" s="254">
        <v>400</v>
      </c>
      <c r="AO104" s="255">
        <v>38</v>
      </c>
      <c r="AP104" s="280">
        <f t="shared" si="179"/>
        <v>15200</v>
      </c>
      <c r="AQ104" s="254">
        <v>400</v>
      </c>
      <c r="AR104" s="255">
        <v>38</v>
      </c>
      <c r="AS104" s="280">
        <f t="shared" si="180"/>
        <v>15200</v>
      </c>
      <c r="AT104" s="254">
        <v>400</v>
      </c>
      <c r="AU104" s="255">
        <v>38</v>
      </c>
      <c r="AV104" s="280">
        <f t="shared" ref="AV104:AV116" si="202">AT104*AU104</f>
        <v>15200</v>
      </c>
      <c r="AW104" s="254">
        <v>400</v>
      </c>
      <c r="AX104" s="255">
        <v>38</v>
      </c>
      <c r="AY104" s="280">
        <f t="shared" ref="AY104:AY116" si="203">AW104*AX104</f>
        <v>15200</v>
      </c>
      <c r="AZ104" s="254">
        <v>400</v>
      </c>
      <c r="BA104" s="255">
        <v>38</v>
      </c>
      <c r="BB104" s="280">
        <f t="shared" ref="BB104:BB116" si="204">AZ104*BA104</f>
        <v>15200</v>
      </c>
      <c r="BC104" s="285">
        <f t="shared" si="157"/>
        <v>182400</v>
      </c>
    </row>
    <row r="105" spans="1:55" ht="15" thickBot="1" x14ac:dyDescent="0.35">
      <c r="A105" s="194" t="s">
        <v>139</v>
      </c>
      <c r="B105" s="195" t="s">
        <v>32</v>
      </c>
      <c r="C105" s="198" t="s">
        <v>58</v>
      </c>
      <c r="D105" s="199"/>
      <c r="E105" s="143" t="s">
        <v>99</v>
      </c>
      <c r="F105" s="200" t="s">
        <v>4</v>
      </c>
      <c r="G105" s="201">
        <v>44197</v>
      </c>
      <c r="H105" s="229"/>
      <c r="I105" s="229"/>
      <c r="J105" s="229"/>
      <c r="K105" s="230" t="s">
        <v>12</v>
      </c>
      <c r="L105" s="318">
        <v>44197</v>
      </c>
      <c r="M105" s="318">
        <v>44926</v>
      </c>
      <c r="N105" s="317"/>
      <c r="O105" s="144"/>
      <c r="P105" s="144"/>
      <c r="Q105" s="203">
        <v>6000</v>
      </c>
      <c r="R105" s="204" t="s">
        <v>32</v>
      </c>
      <c r="S105" s="254">
        <v>400</v>
      </c>
      <c r="T105" s="255">
        <v>15</v>
      </c>
      <c r="U105" s="280">
        <f t="shared" si="166"/>
        <v>6000</v>
      </c>
      <c r="V105" s="254">
        <v>400</v>
      </c>
      <c r="W105" s="255">
        <v>15</v>
      </c>
      <c r="X105" s="280">
        <f t="shared" si="173"/>
        <v>6000</v>
      </c>
      <c r="Y105" s="254">
        <v>400</v>
      </c>
      <c r="Z105" s="255">
        <v>15</v>
      </c>
      <c r="AA105" s="280">
        <f t="shared" si="174"/>
        <v>6000</v>
      </c>
      <c r="AB105" s="254">
        <v>400</v>
      </c>
      <c r="AC105" s="255">
        <v>15</v>
      </c>
      <c r="AD105" s="280">
        <f t="shared" si="175"/>
        <v>6000</v>
      </c>
      <c r="AE105" s="254">
        <v>400</v>
      </c>
      <c r="AF105" s="255">
        <v>15</v>
      </c>
      <c r="AG105" s="280">
        <f t="shared" si="176"/>
        <v>6000</v>
      </c>
      <c r="AH105" s="254">
        <v>400</v>
      </c>
      <c r="AI105" s="255">
        <v>15</v>
      </c>
      <c r="AJ105" s="280">
        <f t="shared" si="177"/>
        <v>6000</v>
      </c>
      <c r="AK105" s="254">
        <v>400</v>
      </c>
      <c r="AL105" s="255">
        <v>15</v>
      </c>
      <c r="AM105" s="280">
        <f t="shared" si="178"/>
        <v>6000</v>
      </c>
      <c r="AN105" s="254">
        <v>400</v>
      </c>
      <c r="AO105" s="255">
        <v>15</v>
      </c>
      <c r="AP105" s="280">
        <f t="shared" si="179"/>
        <v>6000</v>
      </c>
      <c r="AQ105" s="254">
        <v>400</v>
      </c>
      <c r="AR105" s="255">
        <v>15</v>
      </c>
      <c r="AS105" s="280">
        <f t="shared" si="180"/>
        <v>6000</v>
      </c>
      <c r="AT105" s="254">
        <v>400</v>
      </c>
      <c r="AU105" s="255">
        <v>15</v>
      </c>
      <c r="AV105" s="280">
        <f t="shared" si="202"/>
        <v>6000</v>
      </c>
      <c r="AW105" s="254">
        <v>400</v>
      </c>
      <c r="AX105" s="255">
        <v>15</v>
      </c>
      <c r="AY105" s="280">
        <f t="shared" si="203"/>
        <v>6000</v>
      </c>
      <c r="AZ105" s="254">
        <v>400</v>
      </c>
      <c r="BA105" s="255">
        <v>15</v>
      </c>
      <c r="BB105" s="280">
        <f t="shared" si="204"/>
        <v>6000</v>
      </c>
      <c r="BC105" s="285">
        <f t="shared" si="157"/>
        <v>72000</v>
      </c>
    </row>
    <row r="106" spans="1:55" ht="15" thickBot="1" x14ac:dyDescent="0.35">
      <c r="A106" s="194" t="s">
        <v>143</v>
      </c>
      <c r="B106" s="195" t="s">
        <v>32</v>
      </c>
      <c r="C106" s="198" t="s">
        <v>58</v>
      </c>
      <c r="D106" s="199"/>
      <c r="E106" s="143" t="s">
        <v>96</v>
      </c>
      <c r="F106" s="200" t="s">
        <v>4</v>
      </c>
      <c r="G106" s="201">
        <v>44197</v>
      </c>
      <c r="H106" s="229"/>
      <c r="I106" s="229"/>
      <c r="J106" s="229"/>
      <c r="K106" s="230" t="s">
        <v>12</v>
      </c>
      <c r="L106" s="318">
        <v>44197</v>
      </c>
      <c r="M106" s="318">
        <v>44926</v>
      </c>
      <c r="N106" s="317"/>
      <c r="O106" s="144"/>
      <c r="P106" s="144"/>
      <c r="Q106" s="203">
        <v>10000</v>
      </c>
      <c r="R106" s="204" t="s">
        <v>32</v>
      </c>
      <c r="S106" s="254">
        <v>400</v>
      </c>
      <c r="T106" s="255">
        <v>25</v>
      </c>
      <c r="U106" s="280">
        <f t="shared" si="166"/>
        <v>10000</v>
      </c>
      <c r="V106" s="254">
        <v>400</v>
      </c>
      <c r="W106" s="255">
        <v>25</v>
      </c>
      <c r="X106" s="280">
        <f t="shared" si="173"/>
        <v>10000</v>
      </c>
      <c r="Y106" s="254">
        <v>400</v>
      </c>
      <c r="Z106" s="255">
        <v>25</v>
      </c>
      <c r="AA106" s="280">
        <f t="shared" si="174"/>
        <v>10000</v>
      </c>
      <c r="AB106" s="254">
        <v>400</v>
      </c>
      <c r="AC106" s="255">
        <v>25</v>
      </c>
      <c r="AD106" s="280">
        <f t="shared" si="175"/>
        <v>10000</v>
      </c>
      <c r="AE106" s="254">
        <v>400</v>
      </c>
      <c r="AF106" s="255">
        <v>25</v>
      </c>
      <c r="AG106" s="280">
        <f t="shared" si="176"/>
        <v>10000</v>
      </c>
      <c r="AH106" s="254">
        <v>400</v>
      </c>
      <c r="AI106" s="255">
        <v>25</v>
      </c>
      <c r="AJ106" s="280">
        <f t="shared" si="177"/>
        <v>10000</v>
      </c>
      <c r="AK106" s="254">
        <v>400</v>
      </c>
      <c r="AL106" s="255">
        <v>25</v>
      </c>
      <c r="AM106" s="280">
        <f t="shared" si="178"/>
        <v>10000</v>
      </c>
      <c r="AN106" s="254">
        <v>400</v>
      </c>
      <c r="AO106" s="255">
        <v>25</v>
      </c>
      <c r="AP106" s="280">
        <f t="shared" si="179"/>
        <v>10000</v>
      </c>
      <c r="AQ106" s="254">
        <v>400</v>
      </c>
      <c r="AR106" s="255">
        <v>25</v>
      </c>
      <c r="AS106" s="280">
        <f t="shared" si="180"/>
        <v>10000</v>
      </c>
      <c r="AT106" s="254">
        <v>400</v>
      </c>
      <c r="AU106" s="255">
        <v>25</v>
      </c>
      <c r="AV106" s="280">
        <f t="shared" si="202"/>
        <v>10000</v>
      </c>
      <c r="AW106" s="254">
        <v>400</v>
      </c>
      <c r="AX106" s="255">
        <v>25</v>
      </c>
      <c r="AY106" s="280">
        <f t="shared" si="203"/>
        <v>10000</v>
      </c>
      <c r="AZ106" s="254">
        <v>400</v>
      </c>
      <c r="BA106" s="255">
        <v>25</v>
      </c>
      <c r="BB106" s="280">
        <f t="shared" si="204"/>
        <v>10000</v>
      </c>
      <c r="BC106" s="285">
        <f t="shared" si="157"/>
        <v>120000</v>
      </c>
    </row>
    <row r="107" spans="1:55" ht="15" thickBot="1" x14ac:dyDescent="0.35">
      <c r="A107" s="194" t="s">
        <v>182</v>
      </c>
      <c r="B107" s="195" t="s">
        <v>32</v>
      </c>
      <c r="C107" s="198" t="s">
        <v>58</v>
      </c>
      <c r="D107" s="199"/>
      <c r="E107" s="143" t="s">
        <v>97</v>
      </c>
      <c r="F107" s="200" t="s">
        <v>4</v>
      </c>
      <c r="G107" s="201">
        <v>44652</v>
      </c>
      <c r="H107" s="229"/>
      <c r="I107" s="229"/>
      <c r="J107" s="229"/>
      <c r="K107" s="230" t="s">
        <v>12</v>
      </c>
      <c r="L107" s="318">
        <v>44652</v>
      </c>
      <c r="M107" s="326">
        <v>44926</v>
      </c>
      <c r="N107" s="317"/>
      <c r="O107" s="144"/>
      <c r="P107" s="144"/>
      <c r="Q107" s="203">
        <v>10000</v>
      </c>
      <c r="R107" s="204" t="s">
        <v>32</v>
      </c>
      <c r="S107" s="50"/>
      <c r="T107" s="252"/>
      <c r="U107" s="278"/>
      <c r="V107" s="50"/>
      <c r="W107" s="252"/>
      <c r="X107" s="278"/>
      <c r="Y107" s="50"/>
      <c r="Z107" s="252"/>
      <c r="AA107" s="278"/>
      <c r="AB107" s="254">
        <v>400</v>
      </c>
      <c r="AC107" s="255">
        <v>25</v>
      </c>
      <c r="AD107" s="280">
        <f t="shared" ref="AD107" si="205">AB107*AC107</f>
        <v>10000</v>
      </c>
      <c r="AE107" s="254">
        <v>400</v>
      </c>
      <c r="AF107" s="255">
        <v>25</v>
      </c>
      <c r="AG107" s="280">
        <f>AE107*AF107</f>
        <v>10000</v>
      </c>
      <c r="AH107" s="254">
        <v>400</v>
      </c>
      <c r="AI107" s="255">
        <v>25</v>
      </c>
      <c r="AJ107" s="280">
        <f>AH107*AI107</f>
        <v>10000</v>
      </c>
      <c r="AK107" s="254">
        <v>400</v>
      </c>
      <c r="AL107" s="255">
        <v>25</v>
      </c>
      <c r="AM107" s="280">
        <f t="shared" si="178"/>
        <v>10000</v>
      </c>
      <c r="AN107" s="50"/>
      <c r="AO107" s="252"/>
      <c r="AP107" s="278"/>
      <c r="AQ107" s="50"/>
      <c r="AR107" s="252"/>
      <c r="AS107" s="278"/>
      <c r="AT107" s="50"/>
      <c r="AU107" s="252"/>
      <c r="AV107" s="278"/>
      <c r="AW107" s="50"/>
      <c r="AX107" s="252"/>
      <c r="AY107" s="278"/>
      <c r="AZ107" s="50"/>
      <c r="BA107" s="252"/>
      <c r="BB107" s="278"/>
      <c r="BC107" s="285">
        <f t="shared" si="157"/>
        <v>40000</v>
      </c>
    </row>
    <row r="108" spans="1:55" ht="15" thickBot="1" x14ac:dyDescent="0.35">
      <c r="A108" s="194" t="s">
        <v>140</v>
      </c>
      <c r="B108" s="195" t="s">
        <v>32</v>
      </c>
      <c r="C108" s="198" t="s">
        <v>58</v>
      </c>
      <c r="D108" s="199"/>
      <c r="E108" s="143" t="s">
        <v>99</v>
      </c>
      <c r="F108" s="200" t="s">
        <v>4</v>
      </c>
      <c r="G108" s="201">
        <v>44197</v>
      </c>
      <c r="H108" s="229"/>
      <c r="I108" s="229"/>
      <c r="J108" s="229"/>
      <c r="K108" s="230" t="s">
        <v>12</v>
      </c>
      <c r="L108" s="318">
        <v>44197</v>
      </c>
      <c r="M108" s="318">
        <v>44926</v>
      </c>
      <c r="N108" s="317"/>
      <c r="O108" s="144"/>
      <c r="P108" s="144"/>
      <c r="Q108" s="203">
        <v>6000</v>
      </c>
      <c r="R108" s="204" t="s">
        <v>32</v>
      </c>
      <c r="S108" s="254">
        <v>400</v>
      </c>
      <c r="T108" s="255">
        <v>15</v>
      </c>
      <c r="U108" s="280">
        <f t="shared" si="166"/>
        <v>6000</v>
      </c>
      <c r="V108" s="254">
        <v>400</v>
      </c>
      <c r="W108" s="255">
        <v>15</v>
      </c>
      <c r="X108" s="280">
        <f t="shared" si="173"/>
        <v>6000</v>
      </c>
      <c r="Y108" s="254">
        <v>400</v>
      </c>
      <c r="Z108" s="255">
        <v>15</v>
      </c>
      <c r="AA108" s="280">
        <f t="shared" si="174"/>
        <v>6000</v>
      </c>
      <c r="AB108" s="254">
        <v>400</v>
      </c>
      <c r="AC108" s="255">
        <v>15</v>
      </c>
      <c r="AD108" s="280">
        <f t="shared" si="175"/>
        <v>6000</v>
      </c>
      <c r="AE108" s="254">
        <v>400</v>
      </c>
      <c r="AF108" s="255">
        <v>15</v>
      </c>
      <c r="AG108" s="280">
        <f t="shared" si="176"/>
        <v>6000</v>
      </c>
      <c r="AH108" s="254">
        <v>400</v>
      </c>
      <c r="AI108" s="255">
        <v>15</v>
      </c>
      <c r="AJ108" s="280">
        <f t="shared" si="177"/>
        <v>6000</v>
      </c>
      <c r="AK108" s="254">
        <v>400</v>
      </c>
      <c r="AL108" s="255">
        <v>15</v>
      </c>
      <c r="AM108" s="280">
        <f t="shared" si="178"/>
        <v>6000</v>
      </c>
      <c r="AN108" s="254">
        <v>400</v>
      </c>
      <c r="AO108" s="255">
        <v>15</v>
      </c>
      <c r="AP108" s="280">
        <f t="shared" si="179"/>
        <v>6000</v>
      </c>
      <c r="AQ108" s="254">
        <v>400</v>
      </c>
      <c r="AR108" s="255">
        <v>15</v>
      </c>
      <c r="AS108" s="280">
        <f t="shared" si="180"/>
        <v>6000</v>
      </c>
      <c r="AT108" s="254">
        <v>400</v>
      </c>
      <c r="AU108" s="255">
        <v>15</v>
      </c>
      <c r="AV108" s="280">
        <f t="shared" si="202"/>
        <v>6000</v>
      </c>
      <c r="AW108" s="254">
        <v>400</v>
      </c>
      <c r="AX108" s="255">
        <v>15</v>
      </c>
      <c r="AY108" s="280">
        <f t="shared" si="203"/>
        <v>6000</v>
      </c>
      <c r="AZ108" s="254">
        <v>400</v>
      </c>
      <c r="BA108" s="255">
        <v>15</v>
      </c>
      <c r="BB108" s="280">
        <f t="shared" si="204"/>
        <v>6000</v>
      </c>
      <c r="BC108" s="285">
        <f t="shared" si="157"/>
        <v>72000</v>
      </c>
    </row>
    <row r="109" spans="1:55" ht="15" thickBot="1" x14ac:dyDescent="0.35">
      <c r="A109" s="462" t="s">
        <v>75</v>
      </c>
      <c r="B109" s="195" t="s">
        <v>32</v>
      </c>
      <c r="C109" s="198" t="s">
        <v>58</v>
      </c>
      <c r="D109" s="199"/>
      <c r="E109" s="143" t="s">
        <v>99</v>
      </c>
      <c r="F109" s="200" t="s">
        <v>5</v>
      </c>
      <c r="G109" s="201">
        <v>44197</v>
      </c>
      <c r="H109" s="229"/>
      <c r="I109" s="229"/>
      <c r="J109" s="229"/>
      <c r="K109" s="230" t="s">
        <v>12</v>
      </c>
      <c r="L109" s="318">
        <v>44197</v>
      </c>
      <c r="M109" s="318">
        <v>44926</v>
      </c>
      <c r="N109" s="317"/>
      <c r="O109" s="144"/>
      <c r="P109" s="144"/>
      <c r="Q109" s="203">
        <v>20000</v>
      </c>
      <c r="R109" s="204" t="s">
        <v>32</v>
      </c>
      <c r="S109" s="254">
        <v>400</v>
      </c>
      <c r="T109" s="255">
        <v>50</v>
      </c>
      <c r="U109" s="280">
        <f>S109*T109</f>
        <v>20000</v>
      </c>
      <c r="V109" s="254">
        <v>400</v>
      </c>
      <c r="W109" s="255">
        <v>50</v>
      </c>
      <c r="X109" s="280">
        <f t="shared" si="173"/>
        <v>20000</v>
      </c>
      <c r="Y109" s="254">
        <v>400</v>
      </c>
      <c r="Z109" s="255">
        <v>50</v>
      </c>
      <c r="AA109" s="280">
        <f t="shared" si="174"/>
        <v>20000</v>
      </c>
      <c r="AB109" s="254">
        <v>400</v>
      </c>
      <c r="AC109" s="255">
        <v>50</v>
      </c>
      <c r="AD109" s="280">
        <f t="shared" si="175"/>
        <v>20000</v>
      </c>
      <c r="AE109" s="254">
        <v>400</v>
      </c>
      <c r="AF109" s="255">
        <v>50</v>
      </c>
      <c r="AG109" s="280">
        <f t="shared" si="176"/>
        <v>20000</v>
      </c>
      <c r="AH109" s="254">
        <v>400</v>
      </c>
      <c r="AI109" s="255">
        <v>50</v>
      </c>
      <c r="AJ109" s="280">
        <f t="shared" si="177"/>
        <v>20000</v>
      </c>
      <c r="AK109" s="254">
        <v>400</v>
      </c>
      <c r="AL109" s="255">
        <v>50</v>
      </c>
      <c r="AM109" s="280">
        <f t="shared" si="178"/>
        <v>20000</v>
      </c>
      <c r="AN109" s="254">
        <v>400</v>
      </c>
      <c r="AO109" s="255">
        <v>50</v>
      </c>
      <c r="AP109" s="280">
        <f t="shared" si="179"/>
        <v>20000</v>
      </c>
      <c r="AQ109" s="254">
        <v>400</v>
      </c>
      <c r="AR109" s="255">
        <v>50</v>
      </c>
      <c r="AS109" s="280">
        <f t="shared" si="180"/>
        <v>20000</v>
      </c>
      <c r="AT109" s="254">
        <v>400</v>
      </c>
      <c r="AU109" s="255">
        <v>50</v>
      </c>
      <c r="AV109" s="280">
        <f t="shared" si="202"/>
        <v>20000</v>
      </c>
      <c r="AW109" s="254">
        <v>400</v>
      </c>
      <c r="AX109" s="255">
        <v>50</v>
      </c>
      <c r="AY109" s="280">
        <f t="shared" si="203"/>
        <v>20000</v>
      </c>
      <c r="AZ109" s="254">
        <v>400</v>
      </c>
      <c r="BA109" s="255">
        <v>50</v>
      </c>
      <c r="BB109" s="280">
        <f t="shared" si="204"/>
        <v>20000</v>
      </c>
      <c r="BC109" s="285">
        <f>SUM(U109,X109,AA109,AD109,AG109,AJ109,AM109,AP109,AS109,AV109,AY109,BB109)</f>
        <v>240000</v>
      </c>
    </row>
    <row r="110" spans="1:55" ht="15" thickBot="1" x14ac:dyDescent="0.35">
      <c r="A110" s="194" t="s">
        <v>141</v>
      </c>
      <c r="B110" s="195" t="s">
        <v>32</v>
      </c>
      <c r="C110" s="198" t="s">
        <v>58</v>
      </c>
      <c r="D110" s="199"/>
      <c r="E110" s="143" t="s">
        <v>97</v>
      </c>
      <c r="F110" s="200" t="s">
        <v>4</v>
      </c>
      <c r="G110" s="201">
        <v>44197</v>
      </c>
      <c r="H110" s="229"/>
      <c r="I110" s="229"/>
      <c r="J110" s="229"/>
      <c r="K110" s="230" t="s">
        <v>12</v>
      </c>
      <c r="L110" s="318">
        <v>44197</v>
      </c>
      <c r="M110" s="318">
        <v>44926</v>
      </c>
      <c r="N110" s="317"/>
      <c r="O110" s="144"/>
      <c r="P110" s="144"/>
      <c r="Q110" s="203">
        <v>10000</v>
      </c>
      <c r="R110" s="204" t="s">
        <v>32</v>
      </c>
      <c r="S110" s="254">
        <v>400</v>
      </c>
      <c r="T110" s="255">
        <v>25</v>
      </c>
      <c r="U110" s="280">
        <f t="shared" ref="U110:U112" si="206">S110*T110</f>
        <v>10000</v>
      </c>
      <c r="V110" s="254">
        <v>400</v>
      </c>
      <c r="W110" s="255">
        <v>25</v>
      </c>
      <c r="X110" s="280">
        <f t="shared" si="173"/>
        <v>10000</v>
      </c>
      <c r="Y110" s="254">
        <v>400</v>
      </c>
      <c r="Z110" s="255">
        <v>25</v>
      </c>
      <c r="AA110" s="280">
        <f t="shared" si="174"/>
        <v>10000</v>
      </c>
      <c r="AB110" s="254">
        <v>400</v>
      </c>
      <c r="AC110" s="255">
        <v>25</v>
      </c>
      <c r="AD110" s="280">
        <f t="shared" si="175"/>
        <v>10000</v>
      </c>
      <c r="AE110" s="254">
        <v>400</v>
      </c>
      <c r="AF110" s="255">
        <v>25</v>
      </c>
      <c r="AG110" s="280">
        <f t="shared" si="176"/>
        <v>10000</v>
      </c>
      <c r="AH110" s="254">
        <v>400</v>
      </c>
      <c r="AI110" s="255">
        <v>25</v>
      </c>
      <c r="AJ110" s="280">
        <f t="shared" si="177"/>
        <v>10000</v>
      </c>
      <c r="AK110" s="254">
        <v>400</v>
      </c>
      <c r="AL110" s="255">
        <v>25</v>
      </c>
      <c r="AM110" s="280">
        <f t="shared" si="178"/>
        <v>10000</v>
      </c>
      <c r="AN110" s="254">
        <v>400</v>
      </c>
      <c r="AO110" s="255">
        <v>25</v>
      </c>
      <c r="AP110" s="280">
        <f t="shared" si="179"/>
        <v>10000</v>
      </c>
      <c r="AQ110" s="254">
        <v>400</v>
      </c>
      <c r="AR110" s="255">
        <v>25</v>
      </c>
      <c r="AS110" s="280">
        <f t="shared" si="180"/>
        <v>10000</v>
      </c>
      <c r="AT110" s="254">
        <v>400</v>
      </c>
      <c r="AU110" s="255">
        <v>25</v>
      </c>
      <c r="AV110" s="280">
        <f t="shared" si="202"/>
        <v>10000</v>
      </c>
      <c r="AW110" s="254">
        <v>400</v>
      </c>
      <c r="AX110" s="255">
        <v>25</v>
      </c>
      <c r="AY110" s="280">
        <f t="shared" si="203"/>
        <v>10000</v>
      </c>
      <c r="AZ110" s="254">
        <v>400</v>
      </c>
      <c r="BA110" s="255">
        <v>25</v>
      </c>
      <c r="BB110" s="280">
        <f t="shared" si="204"/>
        <v>10000</v>
      </c>
      <c r="BC110" s="285">
        <f t="shared" ref="BC110:BC111" si="207">SUM(U110,X110,AA110,AD110,AG110,AJ110,AM110,AP110,AS110,AV110,AY110,BB110)</f>
        <v>120000</v>
      </c>
    </row>
    <row r="111" spans="1:55" ht="15" thickBot="1" x14ac:dyDescent="0.35">
      <c r="A111" s="194" t="s">
        <v>142</v>
      </c>
      <c r="B111" s="195" t="s">
        <v>32</v>
      </c>
      <c r="C111" s="198" t="s">
        <v>58</v>
      </c>
      <c r="D111" s="199"/>
      <c r="E111" s="143" t="s">
        <v>99</v>
      </c>
      <c r="F111" s="200" t="s">
        <v>4</v>
      </c>
      <c r="G111" s="201">
        <v>44197</v>
      </c>
      <c r="H111" s="229"/>
      <c r="I111" s="229"/>
      <c r="J111" s="229"/>
      <c r="K111" s="230" t="s">
        <v>12</v>
      </c>
      <c r="L111" s="318">
        <v>44197</v>
      </c>
      <c r="M111" s="318">
        <v>44926</v>
      </c>
      <c r="N111" s="317"/>
      <c r="O111" s="144"/>
      <c r="P111" s="144"/>
      <c r="Q111" s="203">
        <v>10000</v>
      </c>
      <c r="R111" s="204" t="s">
        <v>32</v>
      </c>
      <c r="S111" s="254">
        <v>400</v>
      </c>
      <c r="T111" s="255">
        <v>25</v>
      </c>
      <c r="U111" s="280">
        <f t="shared" si="206"/>
        <v>10000</v>
      </c>
      <c r="V111" s="254">
        <v>400</v>
      </c>
      <c r="W111" s="255">
        <v>25</v>
      </c>
      <c r="X111" s="280">
        <f t="shared" si="173"/>
        <v>10000</v>
      </c>
      <c r="Y111" s="254">
        <v>400</v>
      </c>
      <c r="Z111" s="255">
        <v>25</v>
      </c>
      <c r="AA111" s="280">
        <f t="shared" si="174"/>
        <v>10000</v>
      </c>
      <c r="AB111" s="254">
        <v>400</v>
      </c>
      <c r="AC111" s="255">
        <v>25</v>
      </c>
      <c r="AD111" s="280">
        <f t="shared" si="175"/>
        <v>10000</v>
      </c>
      <c r="AE111" s="254">
        <v>400</v>
      </c>
      <c r="AF111" s="255">
        <v>25</v>
      </c>
      <c r="AG111" s="280">
        <f t="shared" si="176"/>
        <v>10000</v>
      </c>
      <c r="AH111" s="254">
        <v>400</v>
      </c>
      <c r="AI111" s="255">
        <v>25</v>
      </c>
      <c r="AJ111" s="280">
        <f t="shared" si="177"/>
        <v>10000</v>
      </c>
      <c r="AK111" s="254">
        <v>400</v>
      </c>
      <c r="AL111" s="255">
        <v>25</v>
      </c>
      <c r="AM111" s="280">
        <f t="shared" si="178"/>
        <v>10000</v>
      </c>
      <c r="AN111" s="254">
        <v>400</v>
      </c>
      <c r="AO111" s="255">
        <v>25</v>
      </c>
      <c r="AP111" s="280">
        <f t="shared" si="179"/>
        <v>10000</v>
      </c>
      <c r="AQ111" s="254">
        <v>400</v>
      </c>
      <c r="AR111" s="255">
        <v>25</v>
      </c>
      <c r="AS111" s="280">
        <f t="shared" si="180"/>
        <v>10000</v>
      </c>
      <c r="AT111" s="254">
        <v>400</v>
      </c>
      <c r="AU111" s="255">
        <v>25</v>
      </c>
      <c r="AV111" s="280">
        <f t="shared" si="202"/>
        <v>10000</v>
      </c>
      <c r="AW111" s="254">
        <v>400</v>
      </c>
      <c r="AX111" s="255">
        <v>25</v>
      </c>
      <c r="AY111" s="280">
        <f t="shared" si="203"/>
        <v>10000</v>
      </c>
      <c r="AZ111" s="254">
        <v>400</v>
      </c>
      <c r="BA111" s="255">
        <v>25</v>
      </c>
      <c r="BB111" s="280">
        <f t="shared" si="204"/>
        <v>10000</v>
      </c>
      <c r="BC111" s="285">
        <f t="shared" si="207"/>
        <v>120000</v>
      </c>
    </row>
    <row r="112" spans="1:55" ht="15" thickBot="1" x14ac:dyDescent="0.35">
      <c r="A112" s="462" t="s">
        <v>144</v>
      </c>
      <c r="B112" s="195" t="s">
        <v>8</v>
      </c>
      <c r="C112" s="198" t="s">
        <v>58</v>
      </c>
      <c r="D112" s="199"/>
      <c r="E112" s="143" t="s">
        <v>156</v>
      </c>
      <c r="F112" s="200" t="s">
        <v>5</v>
      </c>
      <c r="G112" s="201">
        <v>44197</v>
      </c>
      <c r="H112" s="229"/>
      <c r="I112" s="229"/>
      <c r="J112" s="229"/>
      <c r="K112" s="230" t="s">
        <v>12</v>
      </c>
      <c r="L112" s="318">
        <v>44197</v>
      </c>
      <c r="M112" s="318">
        <v>44926</v>
      </c>
      <c r="N112" s="317"/>
      <c r="O112" s="144"/>
      <c r="P112" s="144"/>
      <c r="Q112" s="203">
        <v>17500</v>
      </c>
      <c r="R112" s="204" t="s">
        <v>8</v>
      </c>
      <c r="S112" s="254">
        <v>500</v>
      </c>
      <c r="T112" s="255">
        <v>35</v>
      </c>
      <c r="U112" s="280">
        <f t="shared" si="206"/>
        <v>17500</v>
      </c>
      <c r="V112" s="254">
        <v>500</v>
      </c>
      <c r="W112" s="255">
        <v>35</v>
      </c>
      <c r="X112" s="280">
        <f t="shared" si="173"/>
        <v>17500</v>
      </c>
      <c r="Y112" s="254">
        <v>500</v>
      </c>
      <c r="Z112" s="255">
        <v>35</v>
      </c>
      <c r="AA112" s="280">
        <f t="shared" si="174"/>
        <v>17500</v>
      </c>
      <c r="AB112" s="254">
        <v>500</v>
      </c>
      <c r="AC112" s="255">
        <v>35</v>
      </c>
      <c r="AD112" s="280">
        <f t="shared" si="175"/>
        <v>17500</v>
      </c>
      <c r="AE112" s="254">
        <v>500</v>
      </c>
      <c r="AF112" s="255">
        <v>35</v>
      </c>
      <c r="AG112" s="280">
        <f t="shared" si="176"/>
        <v>17500</v>
      </c>
      <c r="AH112" s="254">
        <v>500</v>
      </c>
      <c r="AI112" s="255">
        <v>35</v>
      </c>
      <c r="AJ112" s="280">
        <f t="shared" si="177"/>
        <v>17500</v>
      </c>
      <c r="AK112" s="254">
        <v>500</v>
      </c>
      <c r="AL112" s="255">
        <v>35</v>
      </c>
      <c r="AM112" s="280">
        <f t="shared" si="178"/>
        <v>17500</v>
      </c>
      <c r="AN112" s="254">
        <v>500</v>
      </c>
      <c r="AO112" s="255">
        <v>35</v>
      </c>
      <c r="AP112" s="280">
        <f t="shared" si="179"/>
        <v>17500</v>
      </c>
      <c r="AQ112" s="254">
        <v>500</v>
      </c>
      <c r="AR112" s="255">
        <v>35</v>
      </c>
      <c r="AS112" s="280">
        <f t="shared" si="180"/>
        <v>17500</v>
      </c>
      <c r="AT112" s="254">
        <v>500</v>
      </c>
      <c r="AU112" s="255">
        <v>35</v>
      </c>
      <c r="AV112" s="280">
        <f t="shared" si="202"/>
        <v>17500</v>
      </c>
      <c r="AW112" s="254">
        <v>500</v>
      </c>
      <c r="AX112" s="255">
        <v>35</v>
      </c>
      <c r="AY112" s="280">
        <f t="shared" si="203"/>
        <v>17500</v>
      </c>
      <c r="AZ112" s="254">
        <v>500</v>
      </c>
      <c r="BA112" s="255">
        <v>35</v>
      </c>
      <c r="BB112" s="280">
        <f t="shared" si="204"/>
        <v>17500</v>
      </c>
      <c r="BC112" s="285">
        <f>SUM(U112,X112,AA112,AD112,AG112,AJ112,AM112,AP112,AS112,AV112,AY112,BB112)</f>
        <v>210000</v>
      </c>
    </row>
    <row r="113" spans="1:55" ht="15" thickBot="1" x14ac:dyDescent="0.35">
      <c r="A113" s="194" t="s">
        <v>190</v>
      </c>
      <c r="B113" s="195" t="s">
        <v>155</v>
      </c>
      <c r="C113" s="198" t="s">
        <v>58</v>
      </c>
      <c r="D113" s="199"/>
      <c r="E113" s="143" t="s">
        <v>104</v>
      </c>
      <c r="F113" s="200" t="s">
        <v>4</v>
      </c>
      <c r="G113" s="201">
        <v>44774</v>
      </c>
      <c r="H113" s="229"/>
      <c r="I113" s="229"/>
      <c r="J113" s="229"/>
      <c r="K113" s="230" t="s">
        <v>13</v>
      </c>
      <c r="L113" s="318">
        <v>44774</v>
      </c>
      <c r="M113" s="318">
        <v>44926</v>
      </c>
      <c r="N113" s="317"/>
      <c r="O113" s="144"/>
      <c r="P113" s="144"/>
      <c r="Q113" s="203">
        <v>1500</v>
      </c>
      <c r="R113" s="204" t="s">
        <v>155</v>
      </c>
      <c r="S113" s="50"/>
      <c r="T113" s="252"/>
      <c r="U113" s="278"/>
      <c r="V113" s="50"/>
      <c r="W113" s="252"/>
      <c r="X113" s="278"/>
      <c r="Y113" s="50"/>
      <c r="Z113" s="252"/>
      <c r="AA113" s="278"/>
      <c r="AB113" s="50"/>
      <c r="AC113" s="252"/>
      <c r="AD113" s="278"/>
      <c r="AE113" s="50"/>
      <c r="AF113" s="252"/>
      <c r="AG113" s="278"/>
      <c r="AH113" s="50"/>
      <c r="AI113" s="252"/>
      <c r="AJ113" s="278"/>
      <c r="AK113" s="50"/>
      <c r="AL113" s="252"/>
      <c r="AM113" s="278"/>
      <c r="AN113" s="50"/>
      <c r="AO113" s="252"/>
      <c r="AP113" s="278"/>
      <c r="AQ113" s="254">
        <v>300</v>
      </c>
      <c r="AR113" s="255">
        <v>2</v>
      </c>
      <c r="AS113" s="280">
        <f t="shared" si="180"/>
        <v>600</v>
      </c>
      <c r="AT113" s="50"/>
      <c r="AU113" s="252"/>
      <c r="AV113" s="278"/>
      <c r="AW113" s="50"/>
      <c r="AX113" s="252"/>
      <c r="AY113" s="278"/>
      <c r="AZ113" s="50"/>
      <c r="BA113" s="252"/>
      <c r="BB113" s="278"/>
      <c r="BC113" s="285">
        <f>SUM(U113,X113,AA113,AD113,AG113,AJ113,AM113,AP113,AS113,AV113,AY113,BB113)</f>
        <v>600</v>
      </c>
    </row>
    <row r="114" spans="1:55" ht="15" thickBot="1" x14ac:dyDescent="0.35">
      <c r="A114" s="194" t="s">
        <v>186</v>
      </c>
      <c r="B114" s="195" t="s">
        <v>155</v>
      </c>
      <c r="C114" s="198" t="s">
        <v>58</v>
      </c>
      <c r="D114" s="199"/>
      <c r="E114" s="143" t="s">
        <v>187</v>
      </c>
      <c r="F114" s="200" t="s">
        <v>4</v>
      </c>
      <c r="G114" s="201">
        <v>44713</v>
      </c>
      <c r="H114" s="229"/>
      <c r="I114" s="229"/>
      <c r="J114" s="229"/>
      <c r="K114" s="230" t="s">
        <v>12</v>
      </c>
      <c r="L114" s="318">
        <v>44713</v>
      </c>
      <c r="M114" s="318">
        <v>44926</v>
      </c>
      <c r="N114" s="317"/>
      <c r="O114" s="144"/>
      <c r="P114" s="144"/>
      <c r="Q114" s="203">
        <v>5000</v>
      </c>
      <c r="R114" s="204" t="s">
        <v>155</v>
      </c>
      <c r="S114" s="50"/>
      <c r="T114" s="252"/>
      <c r="U114" s="278"/>
      <c r="V114" s="50"/>
      <c r="W114" s="252"/>
      <c r="X114" s="278"/>
      <c r="Y114" s="50"/>
      <c r="Z114" s="252"/>
      <c r="AA114" s="278"/>
      <c r="AB114" s="50"/>
      <c r="AC114" s="252"/>
      <c r="AD114" s="278"/>
      <c r="AE114" s="50"/>
      <c r="AF114" s="252"/>
      <c r="AG114" s="278"/>
      <c r="AH114" s="254">
        <v>500</v>
      </c>
      <c r="AI114" s="255">
        <v>10</v>
      </c>
      <c r="AJ114" s="280">
        <f t="shared" ref="AJ114" si="208">AH114*AI114</f>
        <v>5000</v>
      </c>
      <c r="AK114" s="254">
        <v>500</v>
      </c>
      <c r="AL114" s="255">
        <v>10</v>
      </c>
      <c r="AM114" s="280">
        <f t="shared" ref="AM114" si="209">AK114*AL114</f>
        <v>5000</v>
      </c>
      <c r="AN114" s="254">
        <v>500</v>
      </c>
      <c r="AO114" s="255">
        <v>10</v>
      </c>
      <c r="AP114" s="280">
        <f t="shared" ref="AP114" si="210">AN114*AO114</f>
        <v>5000</v>
      </c>
      <c r="AQ114" s="254">
        <v>500</v>
      </c>
      <c r="AR114" s="255">
        <v>10</v>
      </c>
      <c r="AS114" s="280">
        <f t="shared" ref="AS114:AS115" si="211">AQ114*AR114</f>
        <v>5000</v>
      </c>
      <c r="AT114" s="254">
        <v>500</v>
      </c>
      <c r="AU114" s="255">
        <v>10</v>
      </c>
      <c r="AV114" s="280">
        <f t="shared" ref="AV114:AV115" si="212">AT114*AU114</f>
        <v>5000</v>
      </c>
      <c r="AW114" s="254">
        <v>500</v>
      </c>
      <c r="AX114" s="255">
        <v>10</v>
      </c>
      <c r="AY114" s="280">
        <f t="shared" ref="AY114:AY115" si="213">AW114*AX114</f>
        <v>5000</v>
      </c>
      <c r="AZ114" s="254">
        <v>500</v>
      </c>
      <c r="BA114" s="255">
        <v>10</v>
      </c>
      <c r="BB114" s="280">
        <f t="shared" ref="BB114" si="214">AZ114*BA114</f>
        <v>5000</v>
      </c>
      <c r="BC114" s="285">
        <f>SUM(U114,X114,AA114,AD114,AG114,AJ114,AM114,AP114,AS114,AV114,AY114,BB114)</f>
        <v>35000</v>
      </c>
    </row>
    <row r="115" spans="1:55" ht="15" thickBot="1" x14ac:dyDescent="0.35">
      <c r="A115" s="194" t="s">
        <v>188</v>
      </c>
      <c r="B115" s="195" t="s">
        <v>155</v>
      </c>
      <c r="C115" s="198" t="s">
        <v>58</v>
      </c>
      <c r="D115" s="199"/>
      <c r="E115" s="143" t="s">
        <v>189</v>
      </c>
      <c r="F115" s="200" t="s">
        <v>4</v>
      </c>
      <c r="G115" s="201">
        <v>44774</v>
      </c>
      <c r="H115" s="229"/>
      <c r="I115" s="229"/>
      <c r="J115" s="229"/>
      <c r="K115" s="230" t="s">
        <v>13</v>
      </c>
      <c r="L115" s="318">
        <v>44774</v>
      </c>
      <c r="M115" s="318">
        <v>44926</v>
      </c>
      <c r="N115" s="317"/>
      <c r="O115" s="144"/>
      <c r="P115" s="144"/>
      <c r="Q115" s="203">
        <v>5000</v>
      </c>
      <c r="R115" s="204" t="s">
        <v>155</v>
      </c>
      <c r="S115" s="50"/>
      <c r="T115" s="252"/>
      <c r="U115" s="278"/>
      <c r="V115" s="50"/>
      <c r="W115" s="252"/>
      <c r="X115" s="278"/>
      <c r="Y115" s="50"/>
      <c r="Z115" s="252"/>
      <c r="AA115" s="278"/>
      <c r="AB115" s="50"/>
      <c r="AC115" s="252"/>
      <c r="AD115" s="278"/>
      <c r="AE115" s="50"/>
      <c r="AF115" s="252"/>
      <c r="AG115" s="278"/>
      <c r="AH115" s="50"/>
      <c r="AI115" s="252"/>
      <c r="AJ115" s="278"/>
      <c r="AK115" s="50"/>
      <c r="AL115" s="252"/>
      <c r="AM115" s="278"/>
      <c r="AN115" s="50"/>
      <c r="AO115" s="252"/>
      <c r="AP115" s="278"/>
      <c r="AQ115" s="254">
        <v>500</v>
      </c>
      <c r="AR115" s="255">
        <v>10</v>
      </c>
      <c r="AS115" s="280">
        <f t="shared" si="211"/>
        <v>5000</v>
      </c>
      <c r="AT115" s="254">
        <v>500</v>
      </c>
      <c r="AU115" s="255">
        <v>10</v>
      </c>
      <c r="AV115" s="280">
        <f t="shared" si="212"/>
        <v>5000</v>
      </c>
      <c r="AW115" s="254">
        <v>500</v>
      </c>
      <c r="AX115" s="255">
        <v>10</v>
      </c>
      <c r="AY115" s="280">
        <f t="shared" si="213"/>
        <v>5000</v>
      </c>
      <c r="AZ115" s="254">
        <v>500</v>
      </c>
      <c r="BA115" s="255">
        <v>10</v>
      </c>
      <c r="BB115" s="280">
        <f t="shared" ref="BB115" si="215">AZ115*BA115</f>
        <v>5000</v>
      </c>
      <c r="BC115" s="285">
        <f>SUM(U115,X115,AA115,AD115,AG115,AJ115,AM115,AP115,AS115,AV115,AY115,BB115)</f>
        <v>20000</v>
      </c>
    </row>
    <row r="116" spans="1:55" ht="15" thickBot="1" x14ac:dyDescent="0.35">
      <c r="A116" s="194" t="s">
        <v>170</v>
      </c>
      <c r="B116" s="195" t="s">
        <v>155</v>
      </c>
      <c r="C116" s="198" t="s">
        <v>58</v>
      </c>
      <c r="D116" s="199"/>
      <c r="E116" s="143" t="s">
        <v>171</v>
      </c>
      <c r="F116" s="200" t="s">
        <v>4</v>
      </c>
      <c r="G116" s="201">
        <v>44562</v>
      </c>
      <c r="H116" s="229"/>
      <c r="I116" s="229"/>
      <c r="J116" s="229"/>
      <c r="K116" s="230" t="s">
        <v>12</v>
      </c>
      <c r="L116" s="318">
        <v>44562</v>
      </c>
      <c r="M116" s="318">
        <v>44926</v>
      </c>
      <c r="N116" s="317"/>
      <c r="O116" s="144"/>
      <c r="P116" s="144"/>
      <c r="Q116" s="203">
        <v>5000</v>
      </c>
      <c r="R116" s="204" t="s">
        <v>155</v>
      </c>
      <c r="S116" s="254">
        <v>500</v>
      </c>
      <c r="T116" s="255">
        <v>10</v>
      </c>
      <c r="U116" s="280">
        <f t="shared" ref="U116" si="216">S116*T116</f>
        <v>5000</v>
      </c>
      <c r="V116" s="254">
        <v>500</v>
      </c>
      <c r="W116" s="255">
        <v>10</v>
      </c>
      <c r="X116" s="280">
        <f t="shared" si="173"/>
        <v>5000</v>
      </c>
      <c r="Y116" s="254">
        <v>500</v>
      </c>
      <c r="Z116" s="255">
        <v>10</v>
      </c>
      <c r="AA116" s="280">
        <f t="shared" si="174"/>
        <v>5000</v>
      </c>
      <c r="AB116" s="254">
        <v>500</v>
      </c>
      <c r="AC116" s="255">
        <v>10</v>
      </c>
      <c r="AD116" s="280">
        <f t="shared" si="175"/>
        <v>5000</v>
      </c>
      <c r="AE116" s="254">
        <v>500</v>
      </c>
      <c r="AF116" s="255">
        <v>10</v>
      </c>
      <c r="AG116" s="280">
        <f t="shared" si="176"/>
        <v>5000</v>
      </c>
      <c r="AH116" s="254">
        <v>500</v>
      </c>
      <c r="AI116" s="255">
        <v>10</v>
      </c>
      <c r="AJ116" s="280">
        <f t="shared" si="177"/>
        <v>5000</v>
      </c>
      <c r="AK116" s="254">
        <v>500</v>
      </c>
      <c r="AL116" s="255">
        <v>10</v>
      </c>
      <c r="AM116" s="280">
        <f t="shared" si="178"/>
        <v>5000</v>
      </c>
      <c r="AN116" s="254">
        <v>500</v>
      </c>
      <c r="AO116" s="255">
        <v>10</v>
      </c>
      <c r="AP116" s="280">
        <f t="shared" si="179"/>
        <v>5000</v>
      </c>
      <c r="AQ116" s="254">
        <v>500</v>
      </c>
      <c r="AR116" s="255">
        <v>10</v>
      </c>
      <c r="AS116" s="280">
        <f t="shared" si="180"/>
        <v>5000</v>
      </c>
      <c r="AT116" s="254">
        <v>500</v>
      </c>
      <c r="AU116" s="255">
        <v>10</v>
      </c>
      <c r="AV116" s="280">
        <f t="shared" si="202"/>
        <v>5000</v>
      </c>
      <c r="AW116" s="254">
        <v>500</v>
      </c>
      <c r="AX116" s="255">
        <v>10</v>
      </c>
      <c r="AY116" s="280">
        <f t="shared" si="203"/>
        <v>5000</v>
      </c>
      <c r="AZ116" s="254">
        <v>500</v>
      </c>
      <c r="BA116" s="255">
        <v>10</v>
      </c>
      <c r="BB116" s="280">
        <f t="shared" si="204"/>
        <v>5000</v>
      </c>
      <c r="BC116" s="285">
        <f>SUM(U116,X116,AA116,AD116,AG116,AJ116,AM116,AP116,AS116,AV116,AY116,BB116)</f>
        <v>60000</v>
      </c>
    </row>
  </sheetData>
  <autoFilter ref="A11:BC63" xr:uid="{00000000-0001-0000-0200-000000000000}">
    <filterColumn colId="11" showButton="0"/>
    <filterColumn colId="12" showButton="0"/>
    <filterColumn colId="13" showButton="0"/>
    <filterColumn colId="14" showButton="0"/>
    <filterColumn colId="15" showButton="0"/>
    <filterColumn colId="18" showButton="0"/>
    <filterColumn colId="19" showButton="0"/>
    <filterColumn colId="21" showButton="0"/>
    <filterColumn colId="22" showButton="0"/>
    <filterColumn colId="24" showButton="0"/>
    <filterColumn colId="25" showButton="0"/>
    <filterColumn colId="27" showButton="0"/>
    <filterColumn colId="28" showButton="0"/>
    <filterColumn colId="30" showButton="0"/>
    <filterColumn colId="31" showButton="0"/>
    <filterColumn colId="33" showButton="0"/>
    <filterColumn colId="34" showButton="0"/>
    <filterColumn colId="36" showButton="0"/>
    <filterColumn colId="37" showButton="0"/>
    <filterColumn colId="39" showButton="0"/>
    <filterColumn colId="40" showButton="0"/>
    <filterColumn colId="42" showButton="0"/>
    <filterColumn colId="43" showButton="0"/>
    <filterColumn colId="45" showButton="0"/>
    <filterColumn colId="46" showButton="0"/>
    <filterColumn colId="48" showButton="0"/>
    <filterColumn colId="49" showButton="0"/>
    <filterColumn colId="51" showButton="0"/>
    <filterColumn colId="52" showButton="0"/>
  </autoFilter>
  <mergeCells count="47">
    <mergeCell ref="A31:A34"/>
    <mergeCell ref="A57:A63"/>
    <mergeCell ref="A52:A56"/>
    <mergeCell ref="A35:A38"/>
    <mergeCell ref="A39:A44"/>
    <mergeCell ref="A45:A50"/>
    <mergeCell ref="AN1:AP1"/>
    <mergeCell ref="AQ1:AS1"/>
    <mergeCell ref="A19:A24"/>
    <mergeCell ref="A25:A30"/>
    <mergeCell ref="L11:Q12"/>
    <mergeCell ref="A14:A18"/>
    <mergeCell ref="AQ12:AS12"/>
    <mergeCell ref="Y12:AA12"/>
    <mergeCell ref="V12:X12"/>
    <mergeCell ref="AN12:AP12"/>
    <mergeCell ref="AK12:AM12"/>
    <mergeCell ref="AH12:AJ12"/>
    <mergeCell ref="AE12:AG12"/>
    <mergeCell ref="AB12:AD12"/>
    <mergeCell ref="R11:R13"/>
    <mergeCell ref="S11:U11"/>
    <mergeCell ref="AZ12:BB12"/>
    <mergeCell ref="AT11:AV11"/>
    <mergeCell ref="AZ1:BB1"/>
    <mergeCell ref="AW1:AY1"/>
    <mergeCell ref="AW11:AY11"/>
    <mergeCell ref="AZ11:BB11"/>
    <mergeCell ref="AT1:AV1"/>
    <mergeCell ref="AT12:AV12"/>
    <mergeCell ref="AW12:AY12"/>
    <mergeCell ref="S1:U1"/>
    <mergeCell ref="S12:U12"/>
    <mergeCell ref="AN11:AP11"/>
    <mergeCell ref="AQ11:AS11"/>
    <mergeCell ref="AE11:AG11"/>
    <mergeCell ref="AH11:AJ11"/>
    <mergeCell ref="AK11:AM11"/>
    <mergeCell ref="V11:X11"/>
    <mergeCell ref="Y11:AA11"/>
    <mergeCell ref="AB11:AD11"/>
    <mergeCell ref="V1:X1"/>
    <mergeCell ref="Y1:AA1"/>
    <mergeCell ref="AB1:AD1"/>
    <mergeCell ref="AE1:AG1"/>
    <mergeCell ref="AH1:AJ1"/>
    <mergeCell ref="AK1:AM1"/>
  </mergeCells>
  <conditionalFormatting sqref="S39:T42 S49:T49 V49:W49 Y49:Z49 AB49:AC49 AE49:AF49 AH49:AI49 AK49:AL49 S51:BB51 S37:U37 V39:W42 Y39:Z42 AB39:AC42 AE39:AF42 AH39:AI42 AK39:AL40 AK41:AM41 S57:T61 V57:W61 Y57:Z61 AB57:AC61 AE57:AF61 AH57:AI61 S62:AJ62 S90:S91 T91 BA91 AX91 BB90:BB91 AT90:AW91 AY90:AZ91 AT92:BB99 V79:W80 V107:W107 Y79:Z82 Y107:Z107 AK79:AL80 AN79:AO80 AN107:AO107 AQ79:AR80 AQ107:AR107 AT79:AU80 AW79:AX80 AZ79:BA80 AN114:AO114 AN116:AO116 AZ115:BA115 S14:BB18 AK57:BB62 S35:BB36 S24:BB32">
    <cfRule type="cellIs" dxfId="1060" priority="1218" operator="lessThan">
      <formula>0.05</formula>
    </cfRule>
  </conditionalFormatting>
  <conditionalFormatting sqref="N51:Q51 U79:U80 L72 L16:Q18 N91:Q91 U90:U91 V91:AS91 M83:M84 M86:M91 M92:Q99 M107:Q107 X79:X80 AM79:AM80 AP79:AP80 AS79:AS80 AN107:AS107 AV79:AV80 AY79:AY80 BB79:BB80 AA79:AA81 V107:AA107 L42:Q44 M70:Q82 AP114 AP116 BB115 O15:P15">
    <cfRule type="containsBlanks" dxfId="1059" priority="1217">
      <formula>LEN(TRIM(L15))=0</formula>
    </cfRule>
  </conditionalFormatting>
  <conditionalFormatting sqref="S50 Y50 AB50 AE50 AH50 AK50 AN50 AQ50 AT50 AW50 AZ50 V50">
    <cfRule type="containsBlanks" dxfId="1058" priority="1209">
      <formula>LEN(TRIM(S50))=0</formula>
    </cfRule>
  </conditionalFormatting>
  <conditionalFormatting sqref="U63 AM63 AV63 X63 AA63 AD63 AG63 AJ63 AP63 AS63 U79:U80 U90:U91 V91:AS91 X79:X80 AM79:AM80 AP79:AP80 AS79:AS80 AN107:AS107 AV79:AV80 AY79:AY80 BB79:BB80 AA79:AA81 V107:AA107 AP114 AP116 BB115 AY63 BB63">
    <cfRule type="containsBlanks" dxfId="1057" priority="1215">
      <formula>LEN(TRIM(U63))=0</formula>
    </cfRule>
    <cfRule type="containsBlanks" dxfId="1056" priority="1216">
      <formula>LEN(TRIM(U63))=0</formula>
    </cfRule>
  </conditionalFormatting>
  <conditionalFormatting sqref="U63 AM63 AV63 X63 AA63 AD63 AG63 AJ63 AP63 AS63 AY63 BB63">
    <cfRule type="containsBlanks" dxfId="1055" priority="1214">
      <formula>LEN(TRIM(U63))=0</formula>
    </cfRule>
  </conditionalFormatting>
  <conditionalFormatting sqref="S50:BB50">
    <cfRule type="cellIs" dxfId="1054" priority="1213" operator="lessThan">
      <formula>0.05</formula>
    </cfRule>
  </conditionalFormatting>
  <conditionalFormatting sqref="S50:BB50">
    <cfRule type="containsBlanks" dxfId="1053" priority="1211">
      <formula>LEN(TRIM(S50))=0</formula>
    </cfRule>
    <cfRule type="containsBlanks" dxfId="1052" priority="1212">
      <formula>LEN(TRIM(S50))=0</formula>
    </cfRule>
  </conditionalFormatting>
  <conditionalFormatting sqref="S50:BB50">
    <cfRule type="containsBlanks" dxfId="1051" priority="1210">
      <formula>LEN(TRIM(S50))=0</formula>
    </cfRule>
  </conditionalFormatting>
  <conditionalFormatting sqref="S38:BB38">
    <cfRule type="cellIs" dxfId="1050" priority="1208" operator="lessThan">
      <formula>0.05</formula>
    </cfRule>
  </conditionalFormatting>
  <conditionalFormatting sqref="S38:BB38">
    <cfRule type="containsBlanks" dxfId="1049" priority="1206">
      <formula>LEN(TRIM(S38))=0</formula>
    </cfRule>
    <cfRule type="containsBlanks" dxfId="1048" priority="1207">
      <formula>LEN(TRIM(S38))=0</formula>
    </cfRule>
  </conditionalFormatting>
  <conditionalFormatting sqref="S38:BB38">
    <cfRule type="containsBlanks" dxfId="1047" priority="1205">
      <formula>LEN(TRIM(S38))=0</formula>
    </cfRule>
  </conditionalFormatting>
  <conditionalFormatting sqref="S38 V38 Y38 AB38 AE38 AH38 AK38 AN38 AQ38 AT38 AW38 AZ38">
    <cfRule type="containsBlanks" dxfId="1046" priority="1204">
      <formula>LEN(TRIM(S38))=0</formula>
    </cfRule>
  </conditionalFormatting>
  <conditionalFormatting sqref="S30 V30 Y30 AB30 AE30 AH30 AK30 AN30 AQ30 AT30 AW30 AZ30">
    <cfRule type="containsBlanks" dxfId="1045" priority="1203">
      <formula>LEN(TRIM(S30))=0</formula>
    </cfRule>
  </conditionalFormatting>
  <conditionalFormatting sqref="S24 AK24 V24 Y24 AE24 AB24 AH24 AN24 AQ24 AT24 AW24 AZ24">
    <cfRule type="containsBlanks" dxfId="1044" priority="1202">
      <formula>LEN(TRIM(S24))=0</formula>
    </cfRule>
  </conditionalFormatting>
  <conditionalFormatting sqref="S24 AK24 V24 Y24 AE24 AB24 AH24 AN24 AQ24 AT24 AW24 AZ24">
    <cfRule type="containsBlanks" dxfId="1043" priority="1201">
      <formula>LEN(TRIM(S24))=0</formula>
    </cfRule>
  </conditionalFormatting>
  <conditionalFormatting sqref="L22:M24">
    <cfRule type="containsBlanks" dxfId="1042" priority="1200">
      <formula>LEN(TRIM(L22))=0</formula>
    </cfRule>
  </conditionalFormatting>
  <conditionalFormatting sqref="N27:Q34 N26:P26">
    <cfRule type="containsBlanks" dxfId="1041" priority="1199">
      <formula>LEN(TRIM(N26))=0</formula>
    </cfRule>
  </conditionalFormatting>
  <conditionalFormatting sqref="L27:M30 L32:M34 L31">
    <cfRule type="containsBlanks" dxfId="1040" priority="1198">
      <formula>LEN(TRIM(L27))=0</formula>
    </cfRule>
  </conditionalFormatting>
  <conditionalFormatting sqref="N37:Q38 O36:P36">
    <cfRule type="containsBlanks" dxfId="1039" priority="1197">
      <formula>LEN(TRIM(N36))=0</formula>
    </cfRule>
  </conditionalFormatting>
  <conditionalFormatting sqref="L37:M38 L36">
    <cfRule type="containsBlanks" dxfId="1038" priority="1196">
      <formula>LEN(TRIM(L36))=0</formula>
    </cfRule>
  </conditionalFormatting>
  <conditionalFormatting sqref="N41:Q41">
    <cfRule type="containsBlanks" dxfId="1037" priority="1195">
      <formula>LEN(TRIM(N41))=0</formula>
    </cfRule>
  </conditionalFormatting>
  <conditionalFormatting sqref="L41:M41">
    <cfRule type="containsBlanks" dxfId="1036" priority="1194">
      <formula>LEN(TRIM(L41))=0</formula>
    </cfRule>
  </conditionalFormatting>
  <conditionalFormatting sqref="O46:P46 N48:Q48">
    <cfRule type="containsBlanks" dxfId="1035" priority="1191">
      <formula>LEN(TRIM(N46))=0</formula>
    </cfRule>
  </conditionalFormatting>
  <conditionalFormatting sqref="L48:M48">
    <cfRule type="containsBlanks" dxfId="1034" priority="1190">
      <formula>LEN(TRIM(L48))=0</formula>
    </cfRule>
  </conditionalFormatting>
  <conditionalFormatting sqref="L51:M51">
    <cfRule type="containsBlanks" dxfId="1033" priority="1189">
      <formula>LEN(TRIM(L51))=0</formula>
    </cfRule>
  </conditionalFormatting>
  <conditionalFormatting sqref="L51:M51">
    <cfRule type="containsBlanks" dxfId="1032" priority="1188">
      <formula>LEN(TRIM(L51))=0</formula>
    </cfRule>
  </conditionalFormatting>
  <conditionalFormatting sqref="N59:Q61">
    <cfRule type="containsBlanks" dxfId="1031" priority="1187">
      <formula>LEN(TRIM(N59))=0</formula>
    </cfRule>
  </conditionalFormatting>
  <conditionalFormatting sqref="L59:M61">
    <cfRule type="containsBlanks" dxfId="1030" priority="1186">
      <formula>LEN(TRIM(L59))=0</formula>
    </cfRule>
  </conditionalFormatting>
  <conditionalFormatting sqref="N62:Q63">
    <cfRule type="containsBlanks" dxfId="1029" priority="1185">
      <formula>LEN(TRIM(N62))=0</formula>
    </cfRule>
  </conditionalFormatting>
  <conditionalFormatting sqref="L62:M63">
    <cfRule type="containsBlanks" dxfId="1028" priority="1184">
      <formula>LEN(TRIM(L62))=0</formula>
    </cfRule>
  </conditionalFormatting>
  <conditionalFormatting sqref="S43:AM44">
    <cfRule type="cellIs" dxfId="1027" priority="1183" operator="lessThan">
      <formula>0.05</formula>
    </cfRule>
  </conditionalFormatting>
  <conditionalFormatting sqref="S43:AM44">
    <cfRule type="containsBlanks" dxfId="1026" priority="1182">
      <formula>LEN(TRIM(S43))=0</formula>
    </cfRule>
  </conditionalFormatting>
  <conditionalFormatting sqref="S44 AK44 V44 Y44 AB44 AE44 AH44">
    <cfRule type="containsBlanks" dxfId="1025" priority="1181">
      <formula>LEN(TRIM(S44))=0</formula>
    </cfRule>
  </conditionalFormatting>
  <conditionalFormatting sqref="N25:Q25 Q26">
    <cfRule type="containsBlanks" dxfId="1024" priority="1180">
      <formula>LEN(TRIM(N25))=0</formula>
    </cfRule>
  </conditionalFormatting>
  <conditionalFormatting sqref="N45:Q45">
    <cfRule type="containsBlanks" dxfId="1023" priority="1179">
      <formula>LEN(TRIM(N45))=0</formula>
    </cfRule>
  </conditionalFormatting>
  <conditionalFormatting sqref="L49:Q50">
    <cfRule type="containsBlanks" dxfId="1022" priority="1178">
      <formula>LEN(TRIM(L49))=0</formula>
    </cfRule>
  </conditionalFormatting>
  <conditionalFormatting sqref="U24 AM24 X24 AA24 AG24 AD24 AJ24 AP24 AS24 AV24 AY24 BB24">
    <cfRule type="cellIs" dxfId="1021" priority="1177" operator="lessThan">
      <formula>0.05</formula>
    </cfRule>
  </conditionalFormatting>
  <conditionalFormatting sqref="U24 AM24 X24 AA24 AG24 AD24 AJ24 AP24 AS24 AV24 AY24 BB24">
    <cfRule type="containsBlanks" dxfId="1020" priority="1175">
      <formula>LEN(TRIM(U24))=0</formula>
    </cfRule>
    <cfRule type="containsBlanks" dxfId="1019" priority="1176">
      <formula>LEN(TRIM(U24))=0</formula>
    </cfRule>
  </conditionalFormatting>
  <conditionalFormatting sqref="U30 X30 AA30 AD30 AG30 AJ30 AM30 AP30 AS30 AV30 AY30 BB30">
    <cfRule type="cellIs" dxfId="1018" priority="1174" operator="lessThan">
      <formula>0.05</formula>
    </cfRule>
  </conditionalFormatting>
  <conditionalFormatting sqref="U30 X30 AA30 AD30 AG30 AJ30 AM30 AP30 AS30 AV30 AY30 BB30">
    <cfRule type="containsBlanks" dxfId="1017" priority="1172">
      <formula>LEN(TRIM(U30))=0</formula>
    </cfRule>
    <cfRule type="containsBlanks" dxfId="1016" priority="1173">
      <formula>LEN(TRIM(U30))=0</formula>
    </cfRule>
  </conditionalFormatting>
  <conditionalFormatting sqref="N22:Q24">
    <cfRule type="containsBlanks" dxfId="1015" priority="1171">
      <formula>LEN(TRIM(N22))=0</formula>
    </cfRule>
  </conditionalFormatting>
  <conditionalFormatting sqref="S63:T63 V63:W63 Y63:Z63 AB63:AC63 AE63:AF63 AH63:AI63">
    <cfRule type="cellIs" dxfId="1014" priority="1170" operator="lessThan">
      <formula>0.05</formula>
    </cfRule>
  </conditionalFormatting>
  <conditionalFormatting sqref="S63:T63 V63:W63 Y63:Z63 AB63:AC63 AE63:AF63 AH63:AI63">
    <cfRule type="containsBlanks" dxfId="1013" priority="1168">
      <formula>LEN(TRIM(S63))=0</formula>
    </cfRule>
    <cfRule type="containsBlanks" dxfId="1012" priority="1169">
      <formula>LEN(TRIM(S63))=0</formula>
    </cfRule>
  </conditionalFormatting>
  <conditionalFormatting sqref="S63:T63 V63:W63 Y63:Z63 AB63:AC63 AE63:AF63 AH63:AI63">
    <cfRule type="containsBlanks" dxfId="1011" priority="1167">
      <formula>LEN(TRIM(S63))=0</formula>
    </cfRule>
  </conditionalFormatting>
  <conditionalFormatting sqref="S63 V63 Y63 AB63 AE63 AH63">
    <cfRule type="containsBlanks" dxfId="1010" priority="1166">
      <formula>LEN(TRIM(S63))=0</formula>
    </cfRule>
  </conditionalFormatting>
  <conditionalFormatting sqref="AK63:AL63 AT63:AU63 AN63:AO63 AQ63:AR63 AW63:AX63 AZ63:BA63">
    <cfRule type="cellIs" dxfId="1009" priority="1165" operator="lessThan">
      <formula>0.05</formula>
    </cfRule>
  </conditionalFormatting>
  <conditionalFormatting sqref="AK63:AL63 AT63:AU63 AN63:AO63 AQ63:AR63 AW63:AX63 AZ63:BA63">
    <cfRule type="containsBlanks" dxfId="1008" priority="1163">
      <formula>LEN(TRIM(AK63))=0</formula>
    </cfRule>
    <cfRule type="containsBlanks" dxfId="1007" priority="1164">
      <formula>LEN(TRIM(AK63))=0</formula>
    </cfRule>
  </conditionalFormatting>
  <conditionalFormatting sqref="AK63:AL63 AT63:AU63 AN63:AO63 AQ63:AR63 AW63:AX63 AZ63:BA63">
    <cfRule type="containsBlanks" dxfId="1006" priority="1162">
      <formula>LEN(TRIM(AK63))=0</formula>
    </cfRule>
  </conditionalFormatting>
  <conditionalFormatting sqref="AK63 AT63 AN63 AQ63 AW63 AZ63">
    <cfRule type="containsBlanks" dxfId="1005" priority="1161">
      <formula>LEN(TRIM(AK63))=0</formula>
    </cfRule>
  </conditionalFormatting>
  <conditionalFormatting sqref="L19">
    <cfRule type="containsBlanks" dxfId="1004" priority="1155">
      <formula>LEN(TRIM(L19))=0</formula>
    </cfRule>
  </conditionalFormatting>
  <conditionalFormatting sqref="AK19:AL20 S19:T23 V19:W23 Y19:Z23 AE19:AF23 AB19:AC23 AH19:AI23 AN19:AO20 AQ19:AR20 AK23:BB23 AT19:AU20 AW19:AX20 AZ19:BA20">
    <cfRule type="cellIs" dxfId="1003" priority="1151" operator="lessThan">
      <formula>0.05</formula>
    </cfRule>
  </conditionalFormatting>
  <conditionalFormatting sqref="S79:S80 S101 S88 S93:S96 S82 S98:S99">
    <cfRule type="cellIs" dxfId="1002" priority="920" operator="lessThan">
      <formula>0.05</formula>
    </cfRule>
  </conditionalFormatting>
  <conditionalFormatting sqref="O19:P19">
    <cfRule type="containsBlanks" dxfId="1001" priority="1154">
      <formula>LEN(TRIM(O19))=0</formula>
    </cfRule>
  </conditionalFormatting>
  <conditionalFormatting sqref="O20:P20">
    <cfRule type="containsBlanks" dxfId="1000" priority="1152">
      <formula>LEN(TRIM(O20))=0</formula>
    </cfRule>
  </conditionalFormatting>
  <conditionalFormatting sqref="N35:N36 Q35:Q36">
    <cfRule type="containsBlanks" dxfId="999" priority="1149">
      <formula>LEN(TRIM(N35))=0</formula>
    </cfRule>
  </conditionalFormatting>
  <conditionalFormatting sqref="N39:P39">
    <cfRule type="containsBlanks" dxfId="998" priority="1146">
      <formula>LEN(TRIM(N39))=0</formula>
    </cfRule>
  </conditionalFormatting>
  <conditionalFormatting sqref="L39">
    <cfRule type="containsBlanks" dxfId="997" priority="1145">
      <formula>LEN(TRIM(L39))=0</formula>
    </cfRule>
  </conditionalFormatting>
  <conditionalFormatting sqref="Q39:Q40">
    <cfRule type="containsBlanks" dxfId="996" priority="1144">
      <formula>LEN(TRIM(Q39))=0</formula>
    </cfRule>
  </conditionalFormatting>
  <conditionalFormatting sqref="O40:P40">
    <cfRule type="containsBlanks" dxfId="995" priority="1143">
      <formula>LEN(TRIM(O40))=0</formula>
    </cfRule>
  </conditionalFormatting>
  <conditionalFormatting sqref="U49 X49 AA49 AD49 AG49 AJ49 AM49">
    <cfRule type="cellIs" dxfId="994" priority="1137" operator="lessThan">
      <formula>0.05</formula>
    </cfRule>
  </conditionalFormatting>
  <conditionalFormatting sqref="N47:Q47">
    <cfRule type="containsBlanks" dxfId="993" priority="1141">
      <formula>LEN(TRIM(N47))=0</formula>
    </cfRule>
  </conditionalFormatting>
  <conditionalFormatting sqref="L47:M47">
    <cfRule type="containsBlanks" dxfId="992" priority="1140">
      <formula>LEN(TRIM(L47))=0</formula>
    </cfRule>
  </conditionalFormatting>
  <conditionalFormatting sqref="S45:AM46 S48:AM48">
    <cfRule type="cellIs" dxfId="991" priority="1139" operator="lessThan">
      <formula>0.05</formula>
    </cfRule>
  </conditionalFormatting>
  <conditionalFormatting sqref="S47:AM47">
    <cfRule type="cellIs" dxfId="990" priority="1138" operator="lessThan">
      <formula>0.05</formula>
    </cfRule>
  </conditionalFormatting>
  <conditionalFormatting sqref="U49 X49 AA49 AD49 AG49 AJ49 AM49">
    <cfRule type="containsBlanks" dxfId="989" priority="1136">
      <formula>LEN(TRIM(U49))=0</formula>
    </cfRule>
  </conditionalFormatting>
  <conditionalFormatting sqref="N57:P57">
    <cfRule type="containsBlanks" dxfId="988" priority="1135">
      <formula>LEN(TRIM(N57))=0</formula>
    </cfRule>
  </conditionalFormatting>
  <conditionalFormatting sqref="L57">
    <cfRule type="containsBlanks" dxfId="987" priority="1134">
      <formula>LEN(TRIM(L57))=0</formula>
    </cfRule>
  </conditionalFormatting>
  <conditionalFormatting sqref="Q57:Q58">
    <cfRule type="containsBlanks" dxfId="986" priority="1133">
      <formula>LEN(TRIM(Q57))=0</formula>
    </cfRule>
  </conditionalFormatting>
  <conditionalFormatting sqref="O58:P58">
    <cfRule type="containsBlanks" dxfId="985" priority="1132">
      <formula>LEN(TRIM(O58))=0</formula>
    </cfRule>
  </conditionalFormatting>
  <conditionalFormatting sqref="T79:T80 T90 T88 T82">
    <cfRule type="cellIs" dxfId="984" priority="919" operator="lessThan">
      <formula>0.05</formula>
    </cfRule>
  </conditionalFormatting>
  <conditionalFormatting sqref="V101 Y101 AW101 AZ101 AT101 Y90 V90 AT88 AZ88 AW88 AQ88 AN88 AK88 AH88 AE88 AB88 Y88 V88 AT103 AZ103 AW103 V93:V96 Y93 AB93 AE93 AH93 AK93 AN93 AQ93 AQ95:AQ96 AN95:AN96 AK95:AK96 AH95:AH96 AE95:AE96 AB95:AB96 Y95:Y96 Y98:Y99 V98:V99 AB98:AB99 AE98:AE99 AH98:AH99 AK98:AK99 AN98:AN99 AQ98:AQ99">
    <cfRule type="cellIs" dxfId="983" priority="858" operator="lessThan">
      <formula>0.05</formula>
    </cfRule>
  </conditionalFormatting>
  <conditionalFormatting sqref="AU101 BA90 AX90 Z90 W90 AU88 BA88 AX88 AR88 AO88 AL88 AI88 AF88 AC88 Z88 W88 AU103">
    <cfRule type="cellIs" dxfId="982" priority="857" operator="lessThan">
      <formula>0.05</formula>
    </cfRule>
  </conditionalFormatting>
  <conditionalFormatting sqref="V73 Y73 AB73 AE73 AH73 AK73 AN73 AQ73 AT73 AW73 AZ73">
    <cfRule type="cellIs" dxfId="981" priority="850" operator="lessThan">
      <formula>0.05</formula>
    </cfRule>
  </conditionalFormatting>
  <conditionalFormatting sqref="W73 Z73 AC73 AF73 AI73 AL73 AO73 AR73 AU73 AX73 BA73">
    <cfRule type="cellIs" dxfId="980" priority="849" operator="lessThan">
      <formula>0.05</formula>
    </cfRule>
  </conditionalFormatting>
  <conditionalFormatting sqref="S52:S54 V52:V54 Y52:Y54 AB52:AB54 AE52:AE54 AH52:AH54 AK52:AK54 AN52:AN54 AQ52:AQ54 AT52:AT53 AW52:AW53 AZ52:AZ53">
    <cfRule type="cellIs" dxfId="979" priority="1000" operator="lessThan">
      <formula>0.05</formula>
    </cfRule>
  </conditionalFormatting>
  <conditionalFormatting sqref="N55:Q56 P53 O54:P54">
    <cfRule type="containsBlanks" dxfId="978" priority="999">
      <formula>LEN(TRIM(N53))=0</formula>
    </cfRule>
  </conditionalFormatting>
  <conditionalFormatting sqref="L55:M56 L53">
    <cfRule type="containsBlanks" dxfId="977" priority="998">
      <formula>LEN(TRIM(L53))=0</formula>
    </cfRule>
  </conditionalFormatting>
  <conditionalFormatting sqref="L55:M56 L53">
    <cfRule type="containsBlanks" dxfId="976" priority="997">
      <formula>LEN(TRIM(L53))=0</formula>
    </cfRule>
  </conditionalFormatting>
  <conditionalFormatting sqref="U55 X55 AA55 AD55 AG55 AJ55 AM55 AP55 AS55 AV55 AY55 BB55">
    <cfRule type="containsBlanks" dxfId="975" priority="987">
      <formula>LEN(TRIM(U55))=0</formula>
    </cfRule>
  </conditionalFormatting>
  <conditionalFormatting sqref="S56 V56 Y56 AB56 AE56 AH56 AK56 AN56 AQ56 AT56 AW56 AZ56">
    <cfRule type="containsBlanks" dxfId="974" priority="990">
      <formula>LEN(TRIM(S56))=0</formula>
    </cfRule>
  </conditionalFormatting>
  <conditionalFormatting sqref="S56:BB56">
    <cfRule type="cellIs" dxfId="973" priority="994" operator="lessThan">
      <formula>0.05</formula>
    </cfRule>
  </conditionalFormatting>
  <conditionalFormatting sqref="S56:BB56">
    <cfRule type="containsBlanks" dxfId="972" priority="992">
      <formula>LEN(TRIM(S56))=0</formula>
    </cfRule>
    <cfRule type="containsBlanks" dxfId="971" priority="993">
      <formula>LEN(TRIM(S56))=0</formula>
    </cfRule>
  </conditionalFormatting>
  <conditionalFormatting sqref="S56:BB56">
    <cfRule type="containsBlanks" dxfId="970" priority="991">
      <formula>LEN(TRIM(S56))=0</formula>
    </cfRule>
  </conditionalFormatting>
  <conditionalFormatting sqref="S55:T55 V55:W55 Y55:Z55 AB55:AC55 AE55:AF55 AH55:AI55 AK55:AL55 AN55:AO55 AQ55:AR55 AT55:AU55 AW55:AX55 AZ55:BA55">
    <cfRule type="cellIs" dxfId="969" priority="989" operator="lessThan">
      <formula>0.05</formula>
    </cfRule>
  </conditionalFormatting>
  <conditionalFormatting sqref="U55 X55 AA55 AD55 AG55 AJ55 AM55 AP55 AS55 AV55 AY55 BB55">
    <cfRule type="cellIs" dxfId="968" priority="988" operator="lessThan">
      <formula>0.05</formula>
    </cfRule>
  </conditionalFormatting>
  <conditionalFormatting sqref="T52:U54 W52:X54 Z52:AA54 AC52:AD54 AF52:AG54 AI52:AJ54 AL52:AM54 AO52:AP54 AR52:AS54 AU52:AV53 AX52:AY53 BA52:BB53">
    <cfRule type="cellIs" dxfId="967" priority="986" operator="lessThan">
      <formula>0.05</formula>
    </cfRule>
  </conditionalFormatting>
  <conditionalFormatting sqref="M90:Q90 L67:Q67 N101:Q101 N88:Q88">
    <cfRule type="containsBlanks" dxfId="966" priority="985">
      <formula>LEN(TRIM(L67))=0</formula>
    </cfRule>
  </conditionalFormatting>
  <conditionalFormatting sqref="L74 L76 M101 L78">
    <cfRule type="containsBlanks" dxfId="965" priority="984">
      <formula>LEN(TRIM(L74))=0</formula>
    </cfRule>
  </conditionalFormatting>
  <conditionalFormatting sqref="L74 L76 M101 L78">
    <cfRule type="containsBlanks" dxfId="964" priority="983">
      <formula>LEN(TRIM(L74))=0</formula>
    </cfRule>
  </conditionalFormatting>
  <conditionalFormatting sqref="U73">
    <cfRule type="containsBlanks" dxfId="963" priority="957">
      <formula>LEN(TRIM(U73))=0</formula>
    </cfRule>
  </conditionalFormatting>
  <conditionalFormatting sqref="T75">
    <cfRule type="cellIs" dxfId="962" priority="948" operator="lessThan">
      <formula>0.05</formula>
    </cfRule>
  </conditionalFormatting>
  <conditionalFormatting sqref="S76 S78">
    <cfRule type="cellIs" dxfId="961" priority="922" operator="lessThan">
      <formula>0.05</formula>
    </cfRule>
  </conditionalFormatting>
  <conditionalFormatting sqref="S90">
    <cfRule type="cellIs" dxfId="960" priority="969" operator="lessThan">
      <formula>0.05</formula>
    </cfRule>
  </conditionalFormatting>
  <conditionalFormatting sqref="U73">
    <cfRule type="containsBlanks" dxfId="959" priority="955">
      <formula>LEN(TRIM(U73))=0</formula>
    </cfRule>
    <cfRule type="containsBlanks" dxfId="958" priority="956">
      <formula>LEN(TRIM(U73))=0</formula>
    </cfRule>
  </conditionalFormatting>
  <conditionalFormatting sqref="S73">
    <cfRule type="cellIs" dxfId="957" priority="954" operator="lessThan">
      <formula>0.05</formula>
    </cfRule>
  </conditionalFormatting>
  <conditionalFormatting sqref="T73">
    <cfRule type="cellIs" dxfId="956" priority="953" operator="lessThan">
      <formula>0.05</formula>
    </cfRule>
  </conditionalFormatting>
  <conditionalFormatting sqref="U90">
    <cfRule type="containsBlanks" dxfId="955" priority="972">
      <formula>LEN(TRIM(U90))=0</formula>
    </cfRule>
  </conditionalFormatting>
  <conditionalFormatting sqref="U90">
    <cfRule type="containsBlanks" dxfId="954" priority="970">
      <formula>LEN(TRIM(U90))=0</formula>
    </cfRule>
    <cfRule type="containsBlanks" dxfId="953" priority="971">
      <formula>LEN(TRIM(U90))=0</formula>
    </cfRule>
  </conditionalFormatting>
  <conditionalFormatting sqref="T90">
    <cfRule type="cellIs" dxfId="952" priority="968" operator="lessThan">
      <formula>0.05</formula>
    </cfRule>
  </conditionalFormatting>
  <conditionalFormatting sqref="U70">
    <cfRule type="containsBlanks" dxfId="951" priority="967">
      <formula>LEN(TRIM(U70))=0</formula>
    </cfRule>
  </conditionalFormatting>
  <conditionalFormatting sqref="U70">
    <cfRule type="containsBlanks" dxfId="950" priority="965">
      <formula>LEN(TRIM(U70))=0</formula>
    </cfRule>
    <cfRule type="containsBlanks" dxfId="949" priority="966">
      <formula>LEN(TRIM(U70))=0</formula>
    </cfRule>
  </conditionalFormatting>
  <conditionalFormatting sqref="S70">
    <cfRule type="cellIs" dxfId="948" priority="964" operator="lessThan">
      <formula>0.05</formula>
    </cfRule>
  </conditionalFormatting>
  <conditionalFormatting sqref="T70">
    <cfRule type="cellIs" dxfId="947" priority="963" operator="lessThan">
      <formula>0.05</formula>
    </cfRule>
  </conditionalFormatting>
  <conditionalFormatting sqref="S75">
    <cfRule type="cellIs" dxfId="946" priority="949" operator="lessThan">
      <formula>0.05</formula>
    </cfRule>
  </conditionalFormatting>
  <conditionalFormatting sqref="U82">
    <cfRule type="containsBlanks" dxfId="945" priority="932">
      <formula>LEN(TRIM(U82))=0</formula>
    </cfRule>
  </conditionalFormatting>
  <conditionalFormatting sqref="U82">
    <cfRule type="containsBlanks" dxfId="944" priority="930">
      <formula>LEN(TRIM(U82))=0</formula>
    </cfRule>
    <cfRule type="containsBlanks" dxfId="943" priority="931">
      <formula>LEN(TRIM(U82))=0</formula>
    </cfRule>
  </conditionalFormatting>
  <conditionalFormatting sqref="U88 U101 U93:U96 U98:U99">
    <cfRule type="containsBlanks" dxfId="942" priority="929">
      <formula>LEN(TRIM(U88))=0</formula>
    </cfRule>
  </conditionalFormatting>
  <conditionalFormatting sqref="U88 U101 U93:U96 U98:U99">
    <cfRule type="containsBlanks" dxfId="941" priority="927">
      <formula>LEN(TRIM(U88))=0</formula>
    </cfRule>
    <cfRule type="containsBlanks" dxfId="940" priority="928">
      <formula>LEN(TRIM(U88))=0</formula>
    </cfRule>
  </conditionalFormatting>
  <conditionalFormatting sqref="T101 T93:T96 T98:T99">
    <cfRule type="cellIs" dxfId="939" priority="926" operator="lessThan">
      <formula>0.05</formula>
    </cfRule>
  </conditionalFormatting>
  <conditionalFormatting sqref="U76 U78">
    <cfRule type="containsBlanks" dxfId="938" priority="925">
      <formula>LEN(TRIM(U76))=0</formula>
    </cfRule>
  </conditionalFormatting>
  <conditionalFormatting sqref="U76 U78">
    <cfRule type="containsBlanks" dxfId="937" priority="923">
      <formula>LEN(TRIM(U76))=0</formula>
    </cfRule>
    <cfRule type="containsBlanks" dxfId="936" priority="924">
      <formula>LEN(TRIM(U76))=0</formula>
    </cfRule>
  </conditionalFormatting>
  <conditionalFormatting sqref="T76 T78">
    <cfRule type="cellIs" dxfId="935" priority="921" operator="lessThan">
      <formula>0.05</formula>
    </cfRule>
  </conditionalFormatting>
  <conditionalFormatting sqref="X90 AA90">
    <cfRule type="containsBlanks" dxfId="934" priority="910">
      <formula>LEN(TRIM(X90))=0</formula>
    </cfRule>
  </conditionalFormatting>
  <conditionalFormatting sqref="X90 AA90">
    <cfRule type="containsBlanks" dxfId="933" priority="908">
      <formula>LEN(TRIM(X90))=0</formula>
    </cfRule>
    <cfRule type="containsBlanks" dxfId="932" priority="909">
      <formula>LEN(TRIM(X90))=0</formula>
    </cfRule>
  </conditionalFormatting>
  <conditionalFormatting sqref="V90 Y90 AW90 AZ90">
    <cfRule type="cellIs" dxfId="931" priority="907" operator="lessThan">
      <formula>0.05</formula>
    </cfRule>
  </conditionalFormatting>
  <conditionalFormatting sqref="W90 Z90 AX90 BA90">
    <cfRule type="cellIs" dxfId="930" priority="906" operator="lessThan">
      <formula>0.05</formula>
    </cfRule>
  </conditionalFormatting>
  <conditionalFormatting sqref="X70 AA70 AD70 AG70 AJ70 AM70 AP70 AS70 AV70:AV71 AY70:AY71 BB70:BB71">
    <cfRule type="containsBlanks" dxfId="929" priority="905">
      <formula>LEN(TRIM(X70))=0</formula>
    </cfRule>
  </conditionalFormatting>
  <conditionalFormatting sqref="X70 AA70 AD70 AG70 AJ70 AM70 AP70 AS70 AV70:AV71 AY70:AY71 BB70:BB71">
    <cfRule type="containsBlanks" dxfId="928" priority="903">
      <formula>LEN(TRIM(X70))=0</formula>
    </cfRule>
    <cfRule type="containsBlanks" dxfId="927" priority="904">
      <formula>LEN(TRIM(X70))=0</formula>
    </cfRule>
  </conditionalFormatting>
  <conditionalFormatting sqref="V70 Y70 AB70 AE70 AH70 AK70 AN70 AQ70 AT70:AT71 AW70:AW71 AZ70:AZ71">
    <cfRule type="cellIs" dxfId="926" priority="902" operator="lessThan">
      <formula>0.05</formula>
    </cfRule>
  </conditionalFormatting>
  <conditionalFormatting sqref="W70 Z70 AC70 AF70 AI70 AL70 AO70 AR70 AU70:AU71 AX70:AX71 BA70:BA71">
    <cfRule type="cellIs" dxfId="925" priority="901" operator="lessThan">
      <formula>0.05</formula>
    </cfRule>
  </conditionalFormatting>
  <conditionalFormatting sqref="X88 AA88 AD88 AG88 AJ88 AM88 AP88 AS88 X101 AA101 AA90 X90 X93:X96 AA93 AD93 AG93 AJ93 AM93 AP93 AS93 AS95:AS96 AP95:AP96 AM95:AM96 AJ95:AJ96 AG95:AG96 AD95:AD96 AA95:AA96 AA98:AA99 X98:X99 AD98:AD99 AG98:AG99 AJ98:AJ99 AM98:AM99 AP98:AP99 AS98:AS99">
    <cfRule type="containsBlanks" dxfId="924" priority="867">
      <formula>LEN(TRIM(X88))=0</formula>
    </cfRule>
  </conditionalFormatting>
  <conditionalFormatting sqref="X88 AA88 AD88 AG88 AJ88 AM88 AP88 AS88 X101 AA101 AA90 X90 X93:X96 AA93 AD93 AG93 AJ93 AM93 AP93 AS93 AS95:AS96 AP95:AP96 AM95:AM96 AJ95:AJ96 AG95:AG96 AD95:AD96 AA95:AA96 AA98:AA99 X98:X99 AD98:AD99 AG98:AG99 AJ98:AJ99 AM98:AM99 AP98:AP99 AS98:AS99">
    <cfRule type="containsBlanks" dxfId="923" priority="865">
      <formula>LEN(TRIM(X88))=0</formula>
    </cfRule>
    <cfRule type="containsBlanks" dxfId="922" priority="866">
      <formula>LEN(TRIM(X88))=0</formula>
    </cfRule>
  </conditionalFormatting>
  <conditionalFormatting sqref="W101 Z101 AX101 BA101 BA103 AX103 W93:W96 Z93 AC93 AF93 AI93 AL93 AO93 AR93 AR95:AR96 AO95:AO96 AL95:AL96 AI95:AI96 AF95:AF96 AC95:AC96 Z95:Z96 Z98:Z99 W98:W99 AC98:AC99 AF98:AF99 AI98:AI99 AL98:AL99 AO98:AO99 AR98:AR99">
    <cfRule type="cellIs" dxfId="921" priority="864" operator="lessThan">
      <formula>0.05</formula>
    </cfRule>
  </conditionalFormatting>
  <conditionalFormatting sqref="X76 AA76 AD76 AG76 AJ76 AM76 AP76 AS76 X78 BB78 AY78 AV78 AY76 BB76">
    <cfRule type="containsBlanks" dxfId="920" priority="863">
      <formula>LEN(TRIM(X76))=0</formula>
    </cfRule>
  </conditionalFormatting>
  <conditionalFormatting sqref="X76 AA76 AD76 AG76 AJ76 AM76 AP76 AS76 X78 BB78 AY78 AV78 AY76 BB76">
    <cfRule type="containsBlanks" dxfId="919" priority="861">
      <formula>LEN(TRIM(X76))=0</formula>
    </cfRule>
    <cfRule type="containsBlanks" dxfId="918" priority="862">
      <formula>LEN(TRIM(X76))=0</formula>
    </cfRule>
  </conditionalFormatting>
  <conditionalFormatting sqref="V76 Y76 AB76 AE76 AH76 AK76 AN76 AQ76 AT76 V78 AZ78 AW78 AT78 AW76 AZ76">
    <cfRule type="cellIs" dxfId="917" priority="860" operator="lessThan">
      <formula>0.05</formula>
    </cfRule>
  </conditionalFormatting>
  <conditionalFormatting sqref="W76 Z76 AC76 AF76 AI76 AL76 AO76 AR76 AU76 W78 BA78 AX78 AU78 AX76 BA76">
    <cfRule type="cellIs" dxfId="916" priority="859" operator="lessThan">
      <formula>0.05</formula>
    </cfRule>
  </conditionalFormatting>
  <conditionalFormatting sqref="L73">
    <cfRule type="containsBlanks" dxfId="915" priority="855">
      <formula>LEN(TRIM(L73))=0</formula>
    </cfRule>
  </conditionalFormatting>
  <conditionalFormatting sqref="L73">
    <cfRule type="containsBlanks" dxfId="914" priority="854">
      <formula>LEN(TRIM(L73))=0</formula>
    </cfRule>
  </conditionalFormatting>
  <conditionalFormatting sqref="X73 AA73 AD73 AG73 AJ73 AM73 AP73 AS73 AV73 AY73 BB73">
    <cfRule type="containsBlanks" dxfId="913" priority="853">
      <formula>LEN(TRIM(X73))=0</formula>
    </cfRule>
  </conditionalFormatting>
  <conditionalFormatting sqref="X73 AA73 AD73 AG73 AJ73 AM73 AP73 AS73 AV73 AY73 BB73">
    <cfRule type="containsBlanks" dxfId="912" priority="851">
      <formula>LEN(TRIM(X73))=0</formula>
    </cfRule>
    <cfRule type="containsBlanks" dxfId="911" priority="852">
      <formula>LEN(TRIM(X73))=0</formula>
    </cfRule>
  </conditionalFormatting>
  <conditionalFormatting sqref="L75">
    <cfRule type="containsBlanks" dxfId="910" priority="847">
      <formula>LEN(TRIM(L75))=0</formula>
    </cfRule>
  </conditionalFormatting>
  <conditionalFormatting sqref="L75">
    <cfRule type="containsBlanks" dxfId="909" priority="846">
      <formula>LEN(TRIM(L75))=0</formula>
    </cfRule>
  </conditionalFormatting>
  <conditionalFormatting sqref="X75 AA75 AD75 AG75 AJ75 AM75 AP75 AS75 AY75 BB75 AV75:AV76">
    <cfRule type="containsBlanks" dxfId="908" priority="840">
      <formula>LEN(TRIM(X75))=0</formula>
    </cfRule>
  </conditionalFormatting>
  <conditionalFormatting sqref="X75 AA75 AD75 AG75 AJ75 AM75 AP75 AS75 AY75 BB75 AV75:AV76">
    <cfRule type="containsBlanks" dxfId="907" priority="838">
      <formula>LEN(TRIM(X75))=0</formula>
    </cfRule>
    <cfRule type="containsBlanks" dxfId="906" priority="839">
      <formula>LEN(TRIM(X75))=0</formula>
    </cfRule>
  </conditionalFormatting>
  <conditionalFormatting sqref="U75">
    <cfRule type="containsBlanks" dxfId="905" priority="845">
      <formula>LEN(TRIM(U75))=0</formula>
    </cfRule>
  </conditionalFormatting>
  <conditionalFormatting sqref="U75">
    <cfRule type="containsBlanks" dxfId="904" priority="843">
      <formula>LEN(TRIM(U75))=0</formula>
    </cfRule>
    <cfRule type="containsBlanks" dxfId="903" priority="844">
      <formula>LEN(TRIM(U75))=0</formula>
    </cfRule>
  </conditionalFormatting>
  <conditionalFormatting sqref="W75 Z75 AC75 AF75 AI75 AL75 AO75 AR75 AU75 AX75 BA75">
    <cfRule type="cellIs" dxfId="902" priority="841" operator="lessThan">
      <formula>0.05</formula>
    </cfRule>
  </conditionalFormatting>
  <conditionalFormatting sqref="V75 Y75 AB75 AE75 AH75 AK75 AN75 AQ75 AT75 AW75 AZ75">
    <cfRule type="cellIs" dxfId="901" priority="842" operator="lessThan">
      <formula>0.05</formula>
    </cfRule>
  </conditionalFormatting>
  <conditionalFormatting sqref="BB88 BB101 BB103">
    <cfRule type="cellIs" dxfId="900" priority="831" operator="lessThan">
      <formula>0.05</formula>
    </cfRule>
  </conditionalFormatting>
  <conditionalFormatting sqref="AV88 AV101 AV103">
    <cfRule type="cellIs" dxfId="899" priority="833" operator="lessThan">
      <formula>0.05</formula>
    </cfRule>
  </conditionalFormatting>
  <conditionalFormatting sqref="AY88 AY101 AY103">
    <cfRule type="cellIs" dxfId="898" priority="832" operator="lessThan">
      <formula>0.05</formula>
    </cfRule>
  </conditionalFormatting>
  <conditionalFormatting sqref="N104:Q109">
    <cfRule type="containsBlanks" dxfId="897" priority="830">
      <formula>LEN(TRIM(N104))=0</formula>
    </cfRule>
  </conditionalFormatting>
  <conditionalFormatting sqref="L109">
    <cfRule type="containsBlanks" dxfId="896" priority="829">
      <formula>LEN(TRIM(L109))=0</formula>
    </cfRule>
  </conditionalFormatting>
  <conditionalFormatting sqref="L109">
    <cfRule type="containsBlanks" dxfId="895" priority="828">
      <formula>LEN(TRIM(L109))=0</formula>
    </cfRule>
  </conditionalFormatting>
  <conditionalFormatting sqref="U109">
    <cfRule type="containsBlanks" dxfId="894" priority="827">
      <formula>LEN(TRIM(U109))=0</formula>
    </cfRule>
  </conditionalFormatting>
  <conditionalFormatting sqref="U109">
    <cfRule type="containsBlanks" dxfId="893" priority="825">
      <formula>LEN(TRIM(U109))=0</formula>
    </cfRule>
    <cfRule type="containsBlanks" dxfId="892" priority="826">
      <formula>LEN(TRIM(U109))=0</formula>
    </cfRule>
  </conditionalFormatting>
  <conditionalFormatting sqref="S109">
    <cfRule type="cellIs" dxfId="891" priority="824" operator="lessThan">
      <formula>0.05</formula>
    </cfRule>
  </conditionalFormatting>
  <conditionalFormatting sqref="T109">
    <cfRule type="cellIs" dxfId="890" priority="823" operator="lessThan">
      <formula>0.05</formula>
    </cfRule>
  </conditionalFormatting>
  <conditionalFormatting sqref="U104:U108">
    <cfRule type="containsBlanks" dxfId="889" priority="822">
      <formula>LEN(TRIM(U104))=0</formula>
    </cfRule>
  </conditionalFormatting>
  <conditionalFormatting sqref="U104:U108">
    <cfRule type="containsBlanks" dxfId="888" priority="820">
      <formula>LEN(TRIM(U104))=0</formula>
    </cfRule>
    <cfRule type="containsBlanks" dxfId="887" priority="821">
      <formula>LEN(TRIM(U104))=0</formula>
    </cfRule>
  </conditionalFormatting>
  <conditionalFormatting sqref="T104:T108">
    <cfRule type="cellIs" dxfId="886" priority="819" operator="lessThan">
      <formula>0.05</formula>
    </cfRule>
  </conditionalFormatting>
  <conditionalFormatting sqref="S104:S108">
    <cfRule type="cellIs" dxfId="885" priority="818" operator="lessThan">
      <formula>0.05</formula>
    </cfRule>
  </conditionalFormatting>
  <conditionalFormatting sqref="N110:Q111">
    <cfRule type="containsBlanks" dxfId="884" priority="817">
      <formula>LEN(TRIM(N110))=0</formula>
    </cfRule>
  </conditionalFormatting>
  <conditionalFormatting sqref="L110:L111">
    <cfRule type="containsBlanks" dxfId="883" priority="816">
      <formula>LEN(TRIM(L110))=0</formula>
    </cfRule>
  </conditionalFormatting>
  <conditionalFormatting sqref="L110:L111">
    <cfRule type="containsBlanks" dxfId="882" priority="815">
      <formula>LEN(TRIM(L110))=0</formula>
    </cfRule>
  </conditionalFormatting>
  <conditionalFormatting sqref="U110:U111">
    <cfRule type="containsBlanks" dxfId="881" priority="814">
      <formula>LEN(TRIM(U110))=0</formula>
    </cfRule>
  </conditionalFormatting>
  <conditionalFormatting sqref="U110:U111">
    <cfRule type="containsBlanks" dxfId="880" priority="812">
      <formula>LEN(TRIM(U110))=0</formula>
    </cfRule>
    <cfRule type="containsBlanks" dxfId="879" priority="813">
      <formula>LEN(TRIM(U110))=0</formula>
    </cfRule>
  </conditionalFormatting>
  <conditionalFormatting sqref="S110:S111">
    <cfRule type="cellIs" dxfId="878" priority="811" operator="lessThan">
      <formula>0.05</formula>
    </cfRule>
  </conditionalFormatting>
  <conditionalFormatting sqref="T110:T111">
    <cfRule type="cellIs" dxfId="877" priority="810" operator="lessThan">
      <formula>0.05</formula>
    </cfRule>
  </conditionalFormatting>
  <conditionalFormatting sqref="L104">
    <cfRule type="containsBlanks" dxfId="876" priority="809">
      <formula>LEN(TRIM(L104))=0</formula>
    </cfRule>
  </conditionalFormatting>
  <conditionalFormatting sqref="L104">
    <cfRule type="containsBlanks" dxfId="875" priority="808">
      <formula>LEN(TRIM(L104))=0</formula>
    </cfRule>
  </conditionalFormatting>
  <conditionalFormatting sqref="L105:L107">
    <cfRule type="containsBlanks" dxfId="874" priority="807">
      <formula>LEN(TRIM(L105))=0</formula>
    </cfRule>
  </conditionalFormatting>
  <conditionalFormatting sqref="L105:L107">
    <cfRule type="containsBlanks" dxfId="873" priority="806">
      <formula>LEN(TRIM(L105))=0</formula>
    </cfRule>
  </conditionalFormatting>
  <conditionalFormatting sqref="L108">
    <cfRule type="containsBlanks" dxfId="872" priority="805">
      <formula>LEN(TRIM(L108))=0</formula>
    </cfRule>
  </conditionalFormatting>
  <conditionalFormatting sqref="L108">
    <cfRule type="containsBlanks" dxfId="871" priority="804">
      <formula>LEN(TRIM(L108))=0</formula>
    </cfRule>
  </conditionalFormatting>
  <conditionalFormatting sqref="M104:M111">
    <cfRule type="containsBlanks" dxfId="870" priority="803">
      <formula>LEN(TRIM(M104))=0</formula>
    </cfRule>
  </conditionalFormatting>
  <conditionalFormatting sqref="M104:M111">
    <cfRule type="containsBlanks" dxfId="869" priority="802">
      <formula>LEN(TRIM(M104))=0</formula>
    </cfRule>
  </conditionalFormatting>
  <conditionalFormatting sqref="X109 AA109 AD109 AG109 AJ109 AM109 AP109 AS109 AV109 AY109 BB109">
    <cfRule type="containsBlanks" dxfId="868" priority="801">
      <formula>LEN(TRIM(X109))=0</formula>
    </cfRule>
  </conditionalFormatting>
  <conditionalFormatting sqref="X109 AA109 AD109 AG109 AJ109 AM109 AP109 AS109 AV109 AY109 BB109">
    <cfRule type="containsBlanks" dxfId="867" priority="799">
      <formula>LEN(TRIM(X109))=0</formula>
    </cfRule>
    <cfRule type="containsBlanks" dxfId="866" priority="800">
      <formula>LEN(TRIM(X109))=0</formula>
    </cfRule>
  </conditionalFormatting>
  <conditionalFormatting sqref="V109 Y109 AB109 AE109 AH109 AK109 AN109 AQ109 AT109 AW109 AZ109">
    <cfRule type="cellIs" dxfId="865" priority="798" operator="lessThan">
      <formula>0.05</formula>
    </cfRule>
  </conditionalFormatting>
  <conditionalFormatting sqref="W109 Z109 AC109 AF109 AI109 AL109 AO109 AR109 AU109 AX109 BA109">
    <cfRule type="cellIs" dxfId="864" priority="797" operator="lessThan">
      <formula>0.05</formula>
    </cfRule>
  </conditionalFormatting>
  <conditionalFormatting sqref="X104:X108 AA104:AA108 AD104:AD108 AG104:AG108 AJ104:AJ108 AM104:AM106 AP104:AP108 AS104:AS108 AV104:AV106 AY104:AY106 BB104:BB106 AM108 BB108 AY108 AV108">
    <cfRule type="containsBlanks" dxfId="863" priority="796">
      <formula>LEN(TRIM(X104))=0</formula>
    </cfRule>
  </conditionalFormatting>
  <conditionalFormatting sqref="X104:X108 AA104:AA108 AD104:AD108 AG104:AG108 AJ104:AJ108 AM104:AM106 AP104:AP108 AS104:AS108 AV104:AV106 AY104:AY106 BB104:BB106 AM108 BB108 AY108 AV108">
    <cfRule type="containsBlanks" dxfId="862" priority="794">
      <formula>LEN(TRIM(X104))=0</formula>
    </cfRule>
    <cfRule type="containsBlanks" dxfId="861" priority="795">
      <formula>LEN(TRIM(X104))=0</formula>
    </cfRule>
  </conditionalFormatting>
  <conditionalFormatting sqref="W104:W108 Z104:Z108 AC104:AC108 AF104:AF108 AI104:AI108 AL104:AL106 AO104:AO108 AR104:AR108 AU104:AU106 AX104:AX106 BA104:BA106 AL108 BA108 AX108 AU108">
    <cfRule type="cellIs" dxfId="860" priority="793" operator="lessThan">
      <formula>0.05</formula>
    </cfRule>
  </conditionalFormatting>
  <conditionalFormatting sqref="V104:V108 Y104:Y108 AB104:AB108 AE104:AE108 AH104:AH108 AK104:AK106 AN104:AN108 AQ104:AQ108 AT104:AT106 AW104:AW106 AZ104:AZ106 AK108 AZ108 AW108 AT108">
    <cfRule type="cellIs" dxfId="859" priority="792" operator="lessThan">
      <formula>0.05</formula>
    </cfRule>
  </conditionalFormatting>
  <conditionalFormatting sqref="X110:X111 AA110:AA111 AD110:AD111 AG110:AG111 AJ110:AJ111 AM110:AM111 AP110:AP111 AS110:AS111 AV110:AV111 AY110:AY111 BB110:BB111">
    <cfRule type="containsBlanks" dxfId="858" priority="791">
      <formula>LEN(TRIM(X110))=0</formula>
    </cfRule>
  </conditionalFormatting>
  <conditionalFormatting sqref="X110:X111 AA110:AA111 AD110:AD111 AG110:AG111 AJ110:AJ111 AM110:AM111 AP110:AP111 AS110:AS111 AV110:AV111 AY110:AY111 BB110:BB111">
    <cfRule type="containsBlanks" dxfId="857" priority="789">
      <formula>LEN(TRIM(X110))=0</formula>
    </cfRule>
    <cfRule type="containsBlanks" dxfId="856" priority="790">
      <formula>LEN(TRIM(X110))=0</formula>
    </cfRule>
  </conditionalFormatting>
  <conditionalFormatting sqref="V110:V111 Y110:Y111 AB110:AB111 AE110:AE111 AH110:AH111 AK110:AK111 AN110:AN111 AQ110:AQ111 AT110:AT111 AW110:AW111 AZ110:AZ111">
    <cfRule type="cellIs" dxfId="855" priority="788" operator="lessThan">
      <formula>0.05</formula>
    </cfRule>
  </conditionalFormatting>
  <conditionalFormatting sqref="W110:W111 Z110:Z111 AC110:AC111 AF110:AF111 AI110:AI111 AL110:AL111 AO110:AO111 AR110:AR111 AU110:AU111 AX110:AX111 BA110:BA111">
    <cfRule type="cellIs" dxfId="854" priority="787" operator="lessThan">
      <formula>0.05</formula>
    </cfRule>
  </conditionalFormatting>
  <conditionalFormatting sqref="U112">
    <cfRule type="containsBlanks" dxfId="853" priority="783">
      <formula>LEN(TRIM(U112))=0</formula>
    </cfRule>
  </conditionalFormatting>
  <conditionalFormatting sqref="U112">
    <cfRule type="containsBlanks" dxfId="852" priority="781">
      <formula>LEN(TRIM(U112))=0</formula>
    </cfRule>
    <cfRule type="containsBlanks" dxfId="851" priority="782">
      <formula>LEN(TRIM(U112))=0</formula>
    </cfRule>
  </conditionalFormatting>
  <conditionalFormatting sqref="N112:Q112">
    <cfRule type="containsBlanks" dxfId="850" priority="780">
      <formula>LEN(TRIM(N112))=0</formula>
    </cfRule>
  </conditionalFormatting>
  <conditionalFormatting sqref="S112">
    <cfRule type="cellIs" dxfId="849" priority="779" operator="lessThan">
      <formula>0.05</formula>
    </cfRule>
  </conditionalFormatting>
  <conditionalFormatting sqref="T112">
    <cfRule type="cellIs" dxfId="848" priority="778" operator="lessThan">
      <formula>0.05</formula>
    </cfRule>
  </conditionalFormatting>
  <conditionalFormatting sqref="L112:M112">
    <cfRule type="containsBlanks" dxfId="847" priority="777">
      <formula>LEN(TRIM(L112))=0</formula>
    </cfRule>
  </conditionalFormatting>
  <conditionalFormatting sqref="L112:M112">
    <cfRule type="containsBlanks" dxfId="846" priority="776">
      <formula>LEN(TRIM(L112))=0</formula>
    </cfRule>
  </conditionalFormatting>
  <conditionalFormatting sqref="X112 AA112 AD112 AG112 AJ112 AM112 AP112 AS112 AV112 AY112 BB112">
    <cfRule type="containsBlanks" dxfId="845" priority="775">
      <formula>LEN(TRIM(X112))=0</formula>
    </cfRule>
  </conditionalFormatting>
  <conditionalFormatting sqref="X112 AA112 AD112 AG112 AJ112 AM112 AP112 AS112 AV112 AY112 BB112">
    <cfRule type="containsBlanks" dxfId="844" priority="773">
      <formula>LEN(TRIM(X112))=0</formula>
    </cfRule>
    <cfRule type="containsBlanks" dxfId="843" priority="774">
      <formula>LEN(TRIM(X112))=0</formula>
    </cfRule>
  </conditionalFormatting>
  <conditionalFormatting sqref="V112 Y112 AB112 AE112 AH112 AK112 AN112 AQ112 AT112 AW112 AZ112">
    <cfRule type="cellIs" dxfId="842" priority="772" operator="lessThan">
      <formula>0.05</formula>
    </cfRule>
  </conditionalFormatting>
  <conditionalFormatting sqref="W112 Z112 AC112 AF112 AI112 AL112 AO112 AR112 AU112 AX112 BA112">
    <cfRule type="cellIs" dxfId="841" priority="771" operator="lessThan">
      <formula>0.05</formula>
    </cfRule>
  </conditionalFormatting>
  <conditionalFormatting sqref="N100:P100">
    <cfRule type="containsBlanks" dxfId="840" priority="741">
      <formula>LEN(TRIM(N100))=0</formula>
    </cfRule>
  </conditionalFormatting>
  <conditionalFormatting sqref="AD100 AG100 AJ100 AM100 AP100 AS100">
    <cfRule type="containsBlanks" dxfId="839" priority="727">
      <formula>LEN(TRIM(AD100))=0</formula>
    </cfRule>
  </conditionalFormatting>
  <conditionalFormatting sqref="AD100 AG100 AJ100 AM100 AP100 AS100">
    <cfRule type="containsBlanks" dxfId="838" priority="725">
      <formula>LEN(TRIM(AD100))=0</formula>
    </cfRule>
    <cfRule type="containsBlanks" dxfId="837" priority="726">
      <formula>LEN(TRIM(AD100))=0</formula>
    </cfRule>
  </conditionalFormatting>
  <conditionalFormatting sqref="AC100 AF100 AI100 AL100 AO100 AR100">
    <cfRule type="cellIs" dxfId="836" priority="724" operator="lessThan">
      <formula>0.05</formula>
    </cfRule>
  </conditionalFormatting>
  <conditionalFormatting sqref="AB100 AE100 AH100 AK100 AN100 AQ100">
    <cfRule type="cellIs" dxfId="835" priority="723" operator="lessThan">
      <formula>0.05</formula>
    </cfRule>
  </conditionalFormatting>
  <conditionalFormatting sqref="X100 AA100">
    <cfRule type="containsBlanks" dxfId="834" priority="722">
      <formula>LEN(TRIM(X100))=0</formula>
    </cfRule>
  </conditionalFormatting>
  <conditionalFormatting sqref="X100 AA100">
    <cfRule type="containsBlanks" dxfId="833" priority="720">
      <formula>LEN(TRIM(X100))=0</formula>
    </cfRule>
    <cfRule type="containsBlanks" dxfId="832" priority="721">
      <formula>LEN(TRIM(X100))=0</formula>
    </cfRule>
  </conditionalFormatting>
  <conditionalFormatting sqref="W100 Z100">
    <cfRule type="cellIs" dxfId="831" priority="719" operator="lessThan">
      <formula>0.05</formula>
    </cfRule>
  </conditionalFormatting>
  <conditionalFormatting sqref="V100 Y100">
    <cfRule type="cellIs" dxfId="830" priority="718" operator="lessThan">
      <formula>0.05</formula>
    </cfRule>
  </conditionalFormatting>
  <conditionalFormatting sqref="Q100">
    <cfRule type="containsBlanks" dxfId="829" priority="728">
      <formula>LEN(TRIM(Q100))=0</formula>
    </cfRule>
  </conditionalFormatting>
  <conditionalFormatting sqref="AT100 AZ100 AW100">
    <cfRule type="cellIs" dxfId="828" priority="716" operator="lessThan">
      <formula>0.05</formula>
    </cfRule>
  </conditionalFormatting>
  <conditionalFormatting sqref="AU100">
    <cfRule type="cellIs" dxfId="827" priority="715" operator="lessThan">
      <formula>0.05</formula>
    </cfRule>
  </conditionalFormatting>
  <conditionalFormatting sqref="BA100 AX100">
    <cfRule type="cellIs" dxfId="826" priority="717" operator="lessThan">
      <formula>0.05</formula>
    </cfRule>
  </conditionalFormatting>
  <conditionalFormatting sqref="BB100">
    <cfRule type="cellIs" dxfId="825" priority="712" operator="lessThan">
      <formula>0.05</formula>
    </cfRule>
  </conditionalFormatting>
  <conditionalFormatting sqref="AV100">
    <cfRule type="cellIs" dxfId="824" priority="714" operator="lessThan">
      <formula>0.05</formula>
    </cfRule>
  </conditionalFormatting>
  <conditionalFormatting sqref="AY100">
    <cfRule type="cellIs" dxfId="823" priority="713" operator="lessThan">
      <formula>0.05</formula>
    </cfRule>
  </conditionalFormatting>
  <conditionalFormatting sqref="N89:Q89">
    <cfRule type="containsBlanks" dxfId="822" priority="711">
      <formula>LEN(TRIM(N89))=0</formula>
    </cfRule>
  </conditionalFormatting>
  <conditionalFormatting sqref="AW89 AZ89 AT89">
    <cfRule type="cellIs" dxfId="821" priority="683" operator="lessThan">
      <formula>0.05</formula>
    </cfRule>
  </conditionalFormatting>
  <conditionalFormatting sqref="AX89 BA89 AU89">
    <cfRule type="cellIs" dxfId="820" priority="682" operator="lessThan">
      <formula>0.05</formula>
    </cfRule>
  </conditionalFormatting>
  <conditionalFormatting sqref="BB89">
    <cfRule type="cellIs" dxfId="819" priority="679" operator="lessThan">
      <formula>0.05</formula>
    </cfRule>
  </conditionalFormatting>
  <conditionalFormatting sqref="AV89">
    <cfRule type="cellIs" dxfId="818" priority="681" operator="lessThan">
      <formula>0.05</formula>
    </cfRule>
  </conditionalFormatting>
  <conditionalFormatting sqref="AY89">
    <cfRule type="cellIs" dxfId="817" priority="680" operator="lessThan">
      <formula>0.05</formula>
    </cfRule>
  </conditionalFormatting>
  <conditionalFormatting sqref="S18 V18 Y18 AE18 AK18 AQ18 AB18 AH18 AN18 AT18 AW18 AZ18">
    <cfRule type="containsBlanks" dxfId="816" priority="677">
      <formula>LEN(TRIM(S18))=0</formula>
    </cfRule>
  </conditionalFormatting>
  <conditionalFormatting sqref="N14:Q14 Q15">
    <cfRule type="containsBlanks" dxfId="815" priority="674">
      <formula>LEN(TRIM(N14))=0</formula>
    </cfRule>
  </conditionalFormatting>
  <conditionalFormatting sqref="U18 X18 AA18 AG18 AM18 AS18 AD18 AJ18 AP18 AV18 AY18 BB18">
    <cfRule type="cellIs" dxfId="814" priority="673" operator="lessThan">
      <formula>0.05</formula>
    </cfRule>
  </conditionalFormatting>
  <conditionalFormatting sqref="U18 X18 AA18 AG18 AM18 AS18 AD18 AJ18 AP18 AV18 AY18 BB18">
    <cfRule type="containsBlanks" dxfId="813" priority="671">
      <formula>LEN(TRIM(U18))=0</formula>
    </cfRule>
    <cfRule type="containsBlanks" dxfId="812" priority="672">
      <formula>LEN(TRIM(U18))=0</formula>
    </cfRule>
  </conditionalFormatting>
  <conditionalFormatting sqref="U19:U23 X19:X23 AA19:AA23 AG19:AG23 AD19:AD23 AJ19:AJ23">
    <cfRule type="cellIs" dxfId="811" priority="665" operator="lessThan">
      <formula>0.05</formula>
    </cfRule>
  </conditionalFormatting>
  <conditionalFormatting sqref="AM19:AM20 AP19:AP20 AS19:AS20 AS22 AV19:AV20 AY19:AY20 BB19:BB20 AV22 AY22 BB22">
    <cfRule type="cellIs" dxfId="810" priority="664" operator="lessThan">
      <formula>0.05</formula>
    </cfRule>
  </conditionalFormatting>
  <conditionalFormatting sqref="U39:U42 X39:X42 AA39:AA42 AD39:AD42 AG39:AG42 AJ39:AJ42">
    <cfRule type="cellIs" dxfId="809" priority="661" operator="lessThan">
      <formula>0.05</formula>
    </cfRule>
  </conditionalFormatting>
  <conditionalFormatting sqref="AM39:AM40">
    <cfRule type="cellIs" dxfId="808" priority="660" operator="lessThan">
      <formula>0.05</formula>
    </cfRule>
  </conditionalFormatting>
  <conditionalFormatting sqref="U57:U58 U60:U61 X57:X58 AA57:AA58 AD57:AD58 AG57:AG58 AJ57:AJ58 X60:X61 AA60:AA61 AD60:AD61 AG60:AG61 AJ60:AJ61">
    <cfRule type="cellIs" dxfId="807" priority="658" operator="lessThan">
      <formula>0.05</formula>
    </cfRule>
  </conditionalFormatting>
  <conditionalFormatting sqref="U59 X59 AA59 AD59 AG59 AJ59">
    <cfRule type="cellIs" dxfId="806" priority="657" operator="lessThan">
      <formula>0.05</formula>
    </cfRule>
  </conditionalFormatting>
  <conditionalFormatting sqref="O52:P52">
    <cfRule type="containsBlanks" dxfId="805" priority="656">
      <formula>LEN(TRIM(O52))=0</formula>
    </cfRule>
  </conditionalFormatting>
  <conditionalFormatting sqref="L52:M52">
    <cfRule type="containsBlanks" dxfId="804" priority="655">
      <formula>LEN(TRIM(L52))=0</formula>
    </cfRule>
  </conditionalFormatting>
  <conditionalFormatting sqref="L52:M52">
    <cfRule type="containsBlanks" dxfId="803" priority="654">
      <formula>LEN(TRIM(L52))=0</formula>
    </cfRule>
  </conditionalFormatting>
  <conditionalFormatting sqref="Q52:Q54">
    <cfRule type="containsBlanks" dxfId="802" priority="653">
      <formula>LEN(TRIM(Q52))=0</formula>
    </cfRule>
  </conditionalFormatting>
  <conditionalFormatting sqref="N52:N54">
    <cfRule type="containsBlanks" dxfId="801" priority="652">
      <formula>LEN(TRIM(N52))=0</formula>
    </cfRule>
  </conditionalFormatting>
  <conditionalFormatting sqref="N86:P86">
    <cfRule type="containsBlanks" dxfId="800" priority="648">
      <formula>LEN(TRIM(N86))=0</formula>
    </cfRule>
  </conditionalFormatting>
  <conditionalFormatting sqref="Q86">
    <cfRule type="containsBlanks" dxfId="799" priority="637">
      <formula>LEN(TRIM(Q86))=0</formula>
    </cfRule>
  </conditionalFormatting>
  <conditionalFormatting sqref="N83:P85">
    <cfRule type="containsBlanks" dxfId="798" priority="636">
      <formula>LEN(TRIM(N83))=0</formula>
    </cfRule>
  </conditionalFormatting>
  <conditionalFormatting sqref="N87:P87">
    <cfRule type="containsBlanks" dxfId="797" priority="609">
      <formula>LEN(TRIM(N87))=0</formula>
    </cfRule>
  </conditionalFormatting>
  <conditionalFormatting sqref="Q83:Q84">
    <cfRule type="containsBlanks" dxfId="796" priority="587">
      <formula>LEN(TRIM(Q83))=0</formula>
    </cfRule>
  </conditionalFormatting>
  <conditionalFormatting sqref="Q87">
    <cfRule type="containsBlanks" dxfId="795" priority="586">
      <formula>LEN(TRIM(Q87))=0</formula>
    </cfRule>
  </conditionalFormatting>
  <conditionalFormatting sqref="M100">
    <cfRule type="containsBlanks" dxfId="794" priority="582">
      <formula>LEN(TRIM(M100))=0</formula>
    </cfRule>
  </conditionalFormatting>
  <conditionalFormatting sqref="M100">
    <cfRule type="containsBlanks" dxfId="793" priority="581">
      <formula>LEN(TRIM(M100))=0</formula>
    </cfRule>
  </conditionalFormatting>
  <conditionalFormatting sqref="M100">
    <cfRule type="containsBlanks" dxfId="792" priority="580">
      <formula>LEN(TRIM(M100))=0</formula>
    </cfRule>
  </conditionalFormatting>
  <conditionalFormatting sqref="U86 X86">
    <cfRule type="containsBlanks" dxfId="791" priority="579">
      <formula>LEN(TRIM(U86))=0</formula>
    </cfRule>
  </conditionalFormatting>
  <conditionalFormatting sqref="U86 X86">
    <cfRule type="containsBlanks" dxfId="790" priority="577">
      <formula>LEN(TRIM(U86))=0</formula>
    </cfRule>
    <cfRule type="containsBlanks" dxfId="789" priority="578">
      <formula>LEN(TRIM(U86))=0</formula>
    </cfRule>
  </conditionalFormatting>
  <conditionalFormatting sqref="T86 W86">
    <cfRule type="cellIs" dxfId="788" priority="576" operator="lessThan">
      <formula>0.05</formula>
    </cfRule>
  </conditionalFormatting>
  <conditionalFormatting sqref="S86 V86">
    <cfRule type="cellIs" dxfId="787" priority="575" operator="lessThan">
      <formula>0.05</formula>
    </cfRule>
  </conditionalFormatting>
  <conditionalFormatting sqref="U83">
    <cfRule type="containsBlanks" dxfId="786" priority="574">
      <formula>LEN(TRIM(U83))=0</formula>
    </cfRule>
  </conditionalFormatting>
  <conditionalFormatting sqref="U83">
    <cfRule type="containsBlanks" dxfId="785" priority="572">
      <formula>LEN(TRIM(U83))=0</formula>
    </cfRule>
    <cfRule type="containsBlanks" dxfId="784" priority="573">
      <formula>LEN(TRIM(U83))=0</formula>
    </cfRule>
  </conditionalFormatting>
  <conditionalFormatting sqref="T83">
    <cfRule type="cellIs" dxfId="783" priority="571" operator="lessThan">
      <formula>0.05</formula>
    </cfRule>
  </conditionalFormatting>
  <conditionalFormatting sqref="S83">
    <cfRule type="cellIs" dxfId="782" priority="570" operator="lessThan">
      <formula>0.05</formula>
    </cfRule>
  </conditionalFormatting>
  <conditionalFormatting sqref="U87">
    <cfRule type="containsBlanks" dxfId="781" priority="569">
      <formula>LEN(TRIM(U87))=0</formula>
    </cfRule>
  </conditionalFormatting>
  <conditionalFormatting sqref="U87">
    <cfRule type="containsBlanks" dxfId="780" priority="567">
      <formula>LEN(TRIM(U87))=0</formula>
    </cfRule>
    <cfRule type="containsBlanks" dxfId="779" priority="568">
      <formula>LEN(TRIM(U87))=0</formula>
    </cfRule>
  </conditionalFormatting>
  <conditionalFormatting sqref="T87">
    <cfRule type="cellIs" dxfId="778" priority="566" operator="lessThan">
      <formula>0.05</formula>
    </cfRule>
  </conditionalFormatting>
  <conditionalFormatting sqref="S87">
    <cfRule type="cellIs" dxfId="777" priority="565" operator="lessThan">
      <formula>0.05</formula>
    </cfRule>
  </conditionalFormatting>
  <conditionalFormatting sqref="AT83:AT87 AZ83:AZ87 AW83:AW87">
    <cfRule type="cellIs" dxfId="776" priority="561" operator="lessThan">
      <formula>0.05</formula>
    </cfRule>
  </conditionalFormatting>
  <conditionalFormatting sqref="AU83:AU87 BA83:BA86 AX83:AX86">
    <cfRule type="cellIs" dxfId="775" priority="560" operator="lessThan">
      <formula>0.05</formula>
    </cfRule>
  </conditionalFormatting>
  <conditionalFormatting sqref="AW86 AZ86">
    <cfRule type="cellIs" dxfId="774" priority="564" operator="lessThan">
      <formula>0.05</formula>
    </cfRule>
  </conditionalFormatting>
  <conditionalFormatting sqref="AX86 BA86">
    <cfRule type="cellIs" dxfId="773" priority="563" operator="lessThan">
      <formula>0.05</formula>
    </cfRule>
  </conditionalFormatting>
  <conditionalFormatting sqref="BA87 AX87">
    <cfRule type="cellIs" dxfId="772" priority="562" operator="lessThan">
      <formula>0.05</formula>
    </cfRule>
  </conditionalFormatting>
  <conditionalFormatting sqref="BB83:BB87">
    <cfRule type="cellIs" dxfId="771" priority="557" operator="lessThan">
      <formula>0.05</formula>
    </cfRule>
  </conditionalFormatting>
  <conditionalFormatting sqref="AV83:AV87">
    <cfRule type="cellIs" dxfId="770" priority="559" operator="lessThan">
      <formula>0.05</formula>
    </cfRule>
  </conditionalFormatting>
  <conditionalFormatting sqref="AY83:AY87">
    <cfRule type="cellIs" dxfId="769" priority="558" operator="lessThan">
      <formula>0.05</formula>
    </cfRule>
  </conditionalFormatting>
  <conditionalFormatting sqref="S67:U67 AE67:BB67">
    <cfRule type="containsBlanks" dxfId="768" priority="550">
      <formula>LEN(TRIM(S67))=0</formula>
    </cfRule>
    <cfRule type="containsBlanks" dxfId="767" priority="551">
      <formula>LEN(TRIM(S67))=0</formula>
    </cfRule>
  </conditionalFormatting>
  <conditionalFormatting sqref="S67:U67 AE67:BB67">
    <cfRule type="containsBlanks" dxfId="766" priority="549">
      <formula>LEN(TRIM(S67))=0</formula>
    </cfRule>
  </conditionalFormatting>
  <conditionalFormatting sqref="S89:AJ89">
    <cfRule type="containsBlanks" dxfId="765" priority="547">
      <formula>LEN(TRIM(S89))=0</formula>
    </cfRule>
    <cfRule type="containsBlanks" dxfId="764" priority="548">
      <formula>LEN(TRIM(S89))=0</formula>
    </cfRule>
  </conditionalFormatting>
  <conditionalFormatting sqref="S89:AJ89">
    <cfRule type="containsBlanks" dxfId="763" priority="546">
      <formula>LEN(TRIM(S89))=0</formula>
    </cfRule>
  </conditionalFormatting>
  <conditionalFormatting sqref="AQ89:AS89">
    <cfRule type="containsBlanks" dxfId="762" priority="544">
      <formula>LEN(TRIM(AQ89))=0</formula>
    </cfRule>
    <cfRule type="containsBlanks" dxfId="761" priority="545">
      <formula>LEN(TRIM(AQ89))=0</formula>
    </cfRule>
  </conditionalFormatting>
  <conditionalFormatting sqref="AQ89:AS89">
    <cfRule type="containsBlanks" dxfId="760" priority="543">
      <formula>LEN(TRIM(AQ89))=0</formula>
    </cfRule>
  </conditionalFormatting>
  <conditionalFormatting sqref="AN72:BB72">
    <cfRule type="containsBlanks" dxfId="759" priority="541">
      <formula>LEN(TRIM(AN72))=0</formula>
    </cfRule>
    <cfRule type="containsBlanks" dxfId="758" priority="542">
      <formula>LEN(TRIM(AN72))=0</formula>
    </cfRule>
  </conditionalFormatting>
  <conditionalFormatting sqref="AN72:BB72">
    <cfRule type="containsBlanks" dxfId="757" priority="540">
      <formula>LEN(TRIM(AN72))=0</formula>
    </cfRule>
  </conditionalFormatting>
  <conditionalFormatting sqref="N103:Q103">
    <cfRule type="containsBlanks" dxfId="756" priority="523">
      <formula>LEN(TRIM(N103))=0</formula>
    </cfRule>
  </conditionalFormatting>
  <conditionalFormatting sqref="M103">
    <cfRule type="containsBlanks" dxfId="755" priority="520">
      <formula>LEN(TRIM(M103))=0</formula>
    </cfRule>
  </conditionalFormatting>
  <conditionalFormatting sqref="M103">
    <cfRule type="containsBlanks" dxfId="754" priority="519">
      <formula>LEN(TRIM(M103))=0</formula>
    </cfRule>
  </conditionalFormatting>
  <conditionalFormatting sqref="S103">
    <cfRule type="cellIs" dxfId="753" priority="514" operator="lessThan">
      <formula>0.05</formula>
    </cfRule>
  </conditionalFormatting>
  <conditionalFormatting sqref="U103">
    <cfRule type="containsBlanks" dxfId="752" priority="518">
      <formula>LEN(TRIM(U103))=0</formula>
    </cfRule>
  </conditionalFormatting>
  <conditionalFormatting sqref="U103">
    <cfRule type="containsBlanks" dxfId="751" priority="516">
      <formula>LEN(TRIM(U103))=0</formula>
    </cfRule>
    <cfRule type="containsBlanks" dxfId="750" priority="517">
      <formula>LEN(TRIM(U103))=0</formula>
    </cfRule>
  </conditionalFormatting>
  <conditionalFormatting sqref="T103">
    <cfRule type="cellIs" dxfId="749" priority="515" operator="lessThan">
      <formula>0.05</formula>
    </cfRule>
  </conditionalFormatting>
  <conditionalFormatting sqref="V103 Y103 AB103 AE103 AH103 AK103 AN103 AQ103">
    <cfRule type="cellIs" dxfId="748" priority="509" operator="lessThan">
      <formula>0.05</formula>
    </cfRule>
  </conditionalFormatting>
  <conditionalFormatting sqref="X103 AA103 AD103 AG103 AJ103 AM103 AP103 AS103">
    <cfRule type="containsBlanks" dxfId="747" priority="513">
      <formula>LEN(TRIM(X103))=0</formula>
    </cfRule>
  </conditionalFormatting>
  <conditionalFormatting sqref="X103 AA103 AD103 AG103 AJ103 AM103 AP103 AS103">
    <cfRule type="containsBlanks" dxfId="746" priority="511">
      <formula>LEN(TRIM(X103))=0</formula>
    </cfRule>
    <cfRule type="containsBlanks" dxfId="745" priority="512">
      <formula>LEN(TRIM(X103))=0</formula>
    </cfRule>
  </conditionalFormatting>
  <conditionalFormatting sqref="W103 Z103 AC103 AF103 AI103 AL103 AO103 AR103">
    <cfRule type="cellIs" dxfId="744" priority="510" operator="lessThan">
      <formula>0.05</formula>
    </cfRule>
  </conditionalFormatting>
  <conditionalFormatting sqref="N68:Q68 N69:P69">
    <cfRule type="containsBlanks" dxfId="743" priority="508">
      <formula>LEN(TRIM(N68))=0</formula>
    </cfRule>
  </conditionalFormatting>
  <conditionalFormatting sqref="U68">
    <cfRule type="containsBlanks" dxfId="742" priority="505">
      <formula>LEN(TRIM(U68))=0</formula>
    </cfRule>
  </conditionalFormatting>
  <conditionalFormatting sqref="U68">
    <cfRule type="containsBlanks" dxfId="741" priority="503">
      <formula>LEN(TRIM(U68))=0</formula>
    </cfRule>
    <cfRule type="containsBlanks" dxfId="740" priority="504">
      <formula>LEN(TRIM(U68))=0</formula>
    </cfRule>
  </conditionalFormatting>
  <conditionalFormatting sqref="S68">
    <cfRule type="cellIs" dxfId="739" priority="502" operator="lessThan">
      <formula>0.05</formula>
    </cfRule>
  </conditionalFormatting>
  <conditionalFormatting sqref="T68">
    <cfRule type="cellIs" dxfId="738" priority="501" operator="lessThan">
      <formula>0.05</formula>
    </cfRule>
  </conditionalFormatting>
  <conditionalFormatting sqref="V116 Y116 AB116 AE116 AZ116 AK116 AH116 AH114 AK114 AZ114 AT114:AT116 AW114:AW116 AQ113:AQ116">
    <cfRule type="cellIs" dxfId="737" priority="473" operator="lessThan">
      <formula>0.05</formula>
    </cfRule>
  </conditionalFormatting>
  <conditionalFormatting sqref="M68:M69">
    <cfRule type="containsBlanks" dxfId="736" priority="495">
      <formula>LEN(TRIM(M68))=0</formula>
    </cfRule>
  </conditionalFormatting>
  <conditionalFormatting sqref="X68 AA68 AD68 AG68 AJ68 AM68 AP68 AS68 AV68 AY68 BB68">
    <cfRule type="containsBlanks" dxfId="735" priority="494">
      <formula>LEN(TRIM(X68))=0</formula>
    </cfRule>
  </conditionalFormatting>
  <conditionalFormatting sqref="X68 AA68 AD68 AG68 AJ68 AM68 AP68 AS68 AV68 AY68 BB68">
    <cfRule type="containsBlanks" dxfId="734" priority="492">
      <formula>LEN(TRIM(X68))=0</formula>
    </cfRule>
    <cfRule type="containsBlanks" dxfId="733" priority="493">
      <formula>LEN(TRIM(X68))=0</formula>
    </cfRule>
  </conditionalFormatting>
  <conditionalFormatting sqref="V68 Y68 AB68 AE68 AH68 AK68 AN68 AQ68 AT68 AW68 AZ68">
    <cfRule type="cellIs" dxfId="732" priority="491" operator="lessThan">
      <formula>0.05</formula>
    </cfRule>
  </conditionalFormatting>
  <conditionalFormatting sqref="W68 Z68 AC68 AF68 AI68 AL68 AO68 AR68 AU68 AX68 BA68">
    <cfRule type="cellIs" dxfId="731" priority="490" operator="lessThan">
      <formula>0.05</formula>
    </cfRule>
  </conditionalFormatting>
  <conditionalFormatting sqref="U116">
    <cfRule type="containsBlanks" dxfId="730" priority="489">
      <formula>LEN(TRIM(U116))=0</formula>
    </cfRule>
  </conditionalFormatting>
  <conditionalFormatting sqref="U116">
    <cfRule type="containsBlanks" dxfId="729" priority="487">
      <formula>LEN(TRIM(U116))=0</formula>
    </cfRule>
    <cfRule type="containsBlanks" dxfId="728" priority="488">
      <formula>LEN(TRIM(U116))=0</formula>
    </cfRule>
  </conditionalFormatting>
  <conditionalFormatting sqref="N116:Q116">
    <cfRule type="containsBlanks" dxfId="727" priority="486">
      <formula>LEN(TRIM(N116))=0</formula>
    </cfRule>
  </conditionalFormatting>
  <conditionalFormatting sqref="S116">
    <cfRule type="cellIs" dxfId="726" priority="485" operator="lessThan">
      <formula>0.05</formula>
    </cfRule>
  </conditionalFormatting>
  <conditionalFormatting sqref="T116">
    <cfRule type="cellIs" dxfId="725" priority="484" operator="lessThan">
      <formula>0.05</formula>
    </cfRule>
  </conditionalFormatting>
  <conditionalFormatting sqref="L116:M116">
    <cfRule type="containsBlanks" dxfId="724" priority="483">
      <formula>LEN(TRIM(L116))=0</formula>
    </cfRule>
  </conditionalFormatting>
  <conditionalFormatting sqref="L116:M116">
    <cfRule type="containsBlanks" dxfId="723" priority="482">
      <formula>LEN(TRIM(L116))=0</formula>
    </cfRule>
  </conditionalFormatting>
  <conditionalFormatting sqref="X116 AA116 AD116 AG116 BB116 AM116 AJ116 AJ114 AM114 BB114 AV114:AV116 AY114:AY116 AS113:AS116">
    <cfRule type="containsBlanks" dxfId="722" priority="476">
      <formula>LEN(TRIM(X113))=0</formula>
    </cfRule>
  </conditionalFormatting>
  <conditionalFormatting sqref="X116 AA116 AD116 AG116 BB116 AM116 AJ116 AJ114 AM114 BB114 AV114:AV116 AY114:AY116 AS113:AS116">
    <cfRule type="containsBlanks" dxfId="721" priority="474">
      <formula>LEN(TRIM(X113))=0</formula>
    </cfRule>
    <cfRule type="containsBlanks" dxfId="720" priority="475">
      <formula>LEN(TRIM(X113))=0</formula>
    </cfRule>
  </conditionalFormatting>
  <conditionalFormatting sqref="V66 Y66 AB66 AE66 AH66 AK66 AN66 AQ66 AT66 AW66 AZ66">
    <cfRule type="cellIs" dxfId="719" priority="451" operator="lessThan">
      <formula>0.05</formula>
    </cfRule>
  </conditionalFormatting>
  <conditionalFormatting sqref="W116 Z116 AC116 AF116 BA116 AL116 AI116 AI114 AL114 BA114 AU114:AU116 AX114:AX116 AR113:AR116">
    <cfRule type="cellIs" dxfId="718" priority="472" operator="lessThan">
      <formula>0.05</formula>
    </cfRule>
  </conditionalFormatting>
  <conditionalFormatting sqref="X66 AA66 AD66 AG66 AJ66 AM66 AP66 AS66 AV66 AY66 BB66">
    <cfRule type="containsBlanks" dxfId="717" priority="454">
      <formula>LEN(TRIM(X66))=0</formula>
    </cfRule>
  </conditionalFormatting>
  <conditionalFormatting sqref="X66 AA66 AD66 AG66 AJ66 AM66 AP66 AS66 AV66 AY66 BB66">
    <cfRule type="containsBlanks" dxfId="716" priority="452">
      <formula>LEN(TRIM(X66))=0</formula>
    </cfRule>
    <cfRule type="containsBlanks" dxfId="715" priority="453">
      <formula>LEN(TRIM(X66))=0</formula>
    </cfRule>
  </conditionalFormatting>
  <conditionalFormatting sqref="S65 V65 Y65 AB65 AE65 AH65 AK65 AN65 AQ65 AT65 AW65">
    <cfRule type="cellIs" dxfId="714" priority="434" operator="lessThan">
      <formula>0.05</formula>
    </cfRule>
  </conditionalFormatting>
  <conditionalFormatting sqref="W66 Z66 AC66 AF66 AI66 AL66 AO66 AR66 AU66 AX66 BA66">
    <cfRule type="cellIs" dxfId="713" priority="450" operator="lessThan">
      <formula>0.05</formula>
    </cfRule>
  </conditionalFormatting>
  <conditionalFormatting sqref="L66:Q66">
    <cfRule type="containsBlanks" dxfId="712" priority="471">
      <formula>LEN(TRIM(L66))=0</formula>
    </cfRule>
  </conditionalFormatting>
  <conditionalFormatting sqref="U66">
    <cfRule type="containsBlanks" dxfId="711" priority="460">
      <formula>LEN(TRIM(U66))=0</formula>
    </cfRule>
    <cfRule type="containsBlanks" dxfId="710" priority="461">
      <formula>LEN(TRIM(U66))=0</formula>
    </cfRule>
  </conditionalFormatting>
  <conditionalFormatting sqref="U66">
    <cfRule type="containsBlanks" dxfId="709" priority="462">
      <formula>LEN(TRIM(U66))=0</formula>
    </cfRule>
  </conditionalFormatting>
  <conditionalFormatting sqref="S66">
    <cfRule type="cellIs" dxfId="708" priority="459" operator="lessThan">
      <formula>0.05</formula>
    </cfRule>
  </conditionalFormatting>
  <conditionalFormatting sqref="T66">
    <cfRule type="cellIs" dxfId="707" priority="458" operator="lessThan">
      <formula>0.05</formula>
    </cfRule>
  </conditionalFormatting>
  <conditionalFormatting sqref="BB65">
    <cfRule type="containsBlanks" dxfId="706" priority="443">
      <formula>LEN(TRIM(BB65))=0</formula>
    </cfRule>
    <cfRule type="containsBlanks" dxfId="705" priority="444">
      <formula>LEN(TRIM(BB65))=0</formula>
    </cfRule>
  </conditionalFormatting>
  <conditionalFormatting sqref="BB65">
    <cfRule type="containsBlanks" dxfId="704" priority="445">
      <formula>LEN(TRIM(BB65))=0</formula>
    </cfRule>
  </conditionalFormatting>
  <conditionalFormatting sqref="AZ65">
    <cfRule type="cellIs" dxfId="703" priority="442" operator="lessThan">
      <formula>0.05</formula>
    </cfRule>
  </conditionalFormatting>
  <conditionalFormatting sqref="BA65">
    <cfRule type="cellIs" dxfId="702" priority="441" operator="lessThan">
      <formula>0.05</formula>
    </cfRule>
  </conditionalFormatting>
  <conditionalFormatting sqref="U65 X65 AA65 AD65 AG65 AJ65 AM65 AP65 AS65 AV65 AY65">
    <cfRule type="containsBlanks" dxfId="701" priority="435">
      <formula>LEN(TRIM(U65))=0</formula>
    </cfRule>
    <cfRule type="containsBlanks" dxfId="700" priority="436">
      <formula>LEN(TRIM(U65))=0</formula>
    </cfRule>
  </conditionalFormatting>
  <conditionalFormatting sqref="U65 X65 AA65 AD65 AG65 AJ65 AM65 AP65 AS65 AV65 AY65">
    <cfRule type="containsBlanks" dxfId="699" priority="437">
      <formula>LEN(TRIM(U65))=0</formula>
    </cfRule>
  </conditionalFormatting>
  <conditionalFormatting sqref="T65 W65 Z65 AC65 AF65 AI65 AL65 AO65 AR65 AU65 AX65">
    <cfRule type="cellIs" dxfId="698" priority="433" operator="lessThan">
      <formula>0.05</formula>
    </cfRule>
  </conditionalFormatting>
  <conditionalFormatting sqref="M65:Q65">
    <cfRule type="containsBlanks" dxfId="697" priority="449">
      <formula>LEN(TRIM(M65))=0</formula>
    </cfRule>
  </conditionalFormatting>
  <conditionalFormatting sqref="AN49:AO49 AQ49:AR49 AT49:AU49 AW49:AX49 AZ49:BA49">
    <cfRule type="cellIs" dxfId="696" priority="427" operator="lessThan">
      <formula>0.05</formula>
    </cfRule>
  </conditionalFormatting>
  <conditionalFormatting sqref="AP49 AS49 AV49 AY49 BB49">
    <cfRule type="cellIs" dxfId="695" priority="424" operator="lessThan">
      <formula>0.05</formula>
    </cfRule>
  </conditionalFormatting>
  <conditionalFormatting sqref="AN45:BB46 AN48:BB48">
    <cfRule type="cellIs" dxfId="694" priority="426" operator="lessThan">
      <formula>0.05</formula>
    </cfRule>
  </conditionalFormatting>
  <conditionalFormatting sqref="AN47:BB47">
    <cfRule type="cellIs" dxfId="693" priority="425" operator="lessThan">
      <formula>0.05</formula>
    </cfRule>
  </conditionalFormatting>
  <conditionalFormatting sqref="AP49 AS49 AV49 AY49 BB49">
    <cfRule type="containsBlanks" dxfId="692" priority="423">
      <formula>LEN(TRIM(AP49))=0</formula>
    </cfRule>
  </conditionalFormatting>
  <conditionalFormatting sqref="AT39:AU40 AT42:AU42 AT41:AY41 AW39:AY40 AW42:AY42 AZ39:BB42">
    <cfRule type="cellIs" dxfId="691" priority="422" operator="lessThan">
      <formula>0.05</formula>
    </cfRule>
  </conditionalFormatting>
  <conditionalFormatting sqref="AT43:BB44">
    <cfRule type="cellIs" dxfId="690" priority="421" operator="lessThan">
      <formula>0.05</formula>
    </cfRule>
  </conditionalFormatting>
  <conditionalFormatting sqref="AT43:BB44">
    <cfRule type="containsBlanks" dxfId="689" priority="420">
      <formula>LEN(TRIM(AT43))=0</formula>
    </cfRule>
  </conditionalFormatting>
  <conditionalFormatting sqref="AT44 AW44 AZ44">
    <cfRule type="containsBlanks" dxfId="688" priority="419">
      <formula>LEN(TRIM(AT44))=0</formula>
    </cfRule>
  </conditionalFormatting>
  <conditionalFormatting sqref="AV39:AV40">
    <cfRule type="cellIs" dxfId="687" priority="418" operator="lessThan">
      <formula>0.05</formula>
    </cfRule>
  </conditionalFormatting>
  <conditionalFormatting sqref="AV42">
    <cfRule type="cellIs" dxfId="686" priority="417" operator="lessThan">
      <formula>0.05</formula>
    </cfRule>
  </conditionalFormatting>
  <conditionalFormatting sqref="V37:BB37">
    <cfRule type="cellIs" dxfId="685" priority="416" operator="lessThan">
      <formula>0.05</formula>
    </cfRule>
  </conditionalFormatting>
  <conditionalFormatting sqref="S100:U100">
    <cfRule type="containsBlanks" dxfId="684" priority="413">
      <formula>LEN(TRIM(S100))=0</formula>
    </cfRule>
    <cfRule type="containsBlanks" dxfId="683" priority="414">
      <formula>LEN(TRIM(S100))=0</formula>
    </cfRule>
  </conditionalFormatting>
  <conditionalFormatting sqref="S100:U100">
    <cfRule type="containsBlanks" dxfId="682" priority="412">
      <formula>LEN(TRIM(S100))=0</formula>
    </cfRule>
  </conditionalFormatting>
  <conditionalFormatting sqref="AD79:AD80 AG79:AG80 AJ79:AJ80">
    <cfRule type="containsBlanks" dxfId="681" priority="411">
      <formula>LEN(TRIM(AD79))=0</formula>
    </cfRule>
  </conditionalFormatting>
  <conditionalFormatting sqref="AD79:AD80 AG79:AG80 AJ79:AJ80">
    <cfRule type="containsBlanks" dxfId="680" priority="409">
      <formula>LEN(TRIM(AD79))=0</formula>
    </cfRule>
    <cfRule type="containsBlanks" dxfId="679" priority="410">
      <formula>LEN(TRIM(AD79))=0</formula>
    </cfRule>
  </conditionalFormatting>
  <conditionalFormatting sqref="AB79:AB80 AE79:AE80 AH79:AH80 V82 AZ82 AW82 AT82 AQ82 AN82 AK82 AH82 AE82 AB82">
    <cfRule type="cellIs" dxfId="678" priority="405" operator="lessThan">
      <formula>0.05</formula>
    </cfRule>
  </conditionalFormatting>
  <conditionalFormatting sqref="AC79:AC80 AF79:AF80 AI79:AI80 W82 BA82 AX82 AU82 AR82 AO82 AL82 AI82 AF82 AC82">
    <cfRule type="cellIs" dxfId="677" priority="404" operator="lessThan">
      <formula>0.05</formula>
    </cfRule>
  </conditionalFormatting>
  <conditionalFormatting sqref="X82 AA82 AD82 AG82 AJ82 AM82 AP82 AS82 AV82 AY82 BB82">
    <cfRule type="containsBlanks" dxfId="676" priority="408">
      <formula>LEN(TRIM(X82))=0</formula>
    </cfRule>
  </conditionalFormatting>
  <conditionalFormatting sqref="X82 AA82 AD82 AG82 AJ82 AM82 AP82 AS82 AV82 AY82 BB82">
    <cfRule type="containsBlanks" dxfId="675" priority="406">
      <formula>LEN(TRIM(X82))=0</formula>
    </cfRule>
    <cfRule type="containsBlanks" dxfId="674" priority="407">
      <formula>LEN(TRIM(X82))=0</formula>
    </cfRule>
  </conditionalFormatting>
  <conditionalFormatting sqref="M78">
    <cfRule type="containsBlanks" dxfId="673" priority="403">
      <formula>LEN(TRIM(M78))=0</formula>
    </cfRule>
  </conditionalFormatting>
  <conditionalFormatting sqref="AT78 AW78 AZ78">
    <cfRule type="cellIs" dxfId="672" priority="399" operator="lessThan">
      <formula>0.05</formula>
    </cfRule>
  </conditionalFormatting>
  <conditionalFormatting sqref="AU78 AX78 BA78">
    <cfRule type="cellIs" dxfId="671" priority="398" operator="lessThan">
      <formula>0.05</formula>
    </cfRule>
  </conditionalFormatting>
  <conditionalFormatting sqref="AV78 AY78 BB78">
    <cfRule type="containsBlanks" dxfId="670" priority="402">
      <formula>LEN(TRIM(AV78))=0</formula>
    </cfRule>
  </conditionalFormatting>
  <conditionalFormatting sqref="AV78 AY78 BB78">
    <cfRule type="containsBlanks" dxfId="669" priority="400">
      <formula>LEN(TRIM(AV78))=0</formula>
    </cfRule>
    <cfRule type="containsBlanks" dxfId="668" priority="401">
      <formula>LEN(TRIM(AV78))=0</formula>
    </cfRule>
  </conditionalFormatting>
  <conditionalFormatting sqref="AW102 AZ102 AT102">
    <cfRule type="cellIs" dxfId="667" priority="396" operator="lessThan">
      <formula>0.05</formula>
    </cfRule>
  </conditionalFormatting>
  <conditionalFormatting sqref="AU102">
    <cfRule type="cellIs" dxfId="666" priority="395" operator="lessThan">
      <formula>0.05</formula>
    </cfRule>
  </conditionalFormatting>
  <conditionalFormatting sqref="AX102 BA102">
    <cfRule type="cellIs" dxfId="665" priority="397" operator="lessThan">
      <formula>0.05</formula>
    </cfRule>
  </conditionalFormatting>
  <conditionalFormatting sqref="BB102">
    <cfRule type="cellIs" dxfId="664" priority="392" operator="lessThan">
      <formula>0.05</formula>
    </cfRule>
  </conditionalFormatting>
  <conditionalFormatting sqref="AV102">
    <cfRule type="cellIs" dxfId="663" priority="394" operator="lessThan">
      <formula>0.05</formula>
    </cfRule>
  </conditionalFormatting>
  <conditionalFormatting sqref="AY102">
    <cfRule type="cellIs" dxfId="662" priority="393" operator="lessThan">
      <formula>0.05</formula>
    </cfRule>
  </conditionalFormatting>
  <conditionalFormatting sqref="N102:Q102">
    <cfRule type="containsBlanks" dxfId="661" priority="391">
      <formula>LEN(TRIM(N102))=0</formula>
    </cfRule>
  </conditionalFormatting>
  <conditionalFormatting sqref="M102">
    <cfRule type="containsBlanks" dxfId="660" priority="390">
      <formula>LEN(TRIM(M102))=0</formula>
    </cfRule>
  </conditionalFormatting>
  <conditionalFormatting sqref="M102">
    <cfRule type="containsBlanks" dxfId="659" priority="389">
      <formula>LEN(TRIM(M102))=0</formula>
    </cfRule>
  </conditionalFormatting>
  <conditionalFormatting sqref="S102">
    <cfRule type="cellIs" dxfId="658" priority="384" operator="lessThan">
      <formula>0.05</formula>
    </cfRule>
  </conditionalFormatting>
  <conditionalFormatting sqref="U102">
    <cfRule type="containsBlanks" dxfId="657" priority="388">
      <formula>LEN(TRIM(U102))=0</formula>
    </cfRule>
  </conditionalFormatting>
  <conditionalFormatting sqref="U102">
    <cfRule type="containsBlanks" dxfId="656" priority="386">
      <formula>LEN(TRIM(U102))=0</formula>
    </cfRule>
    <cfRule type="containsBlanks" dxfId="655" priority="387">
      <formula>LEN(TRIM(U102))=0</formula>
    </cfRule>
  </conditionalFormatting>
  <conditionalFormatting sqref="T102">
    <cfRule type="cellIs" dxfId="654" priority="385" operator="lessThan">
      <formula>0.05</formula>
    </cfRule>
  </conditionalFormatting>
  <conditionalFormatting sqref="V102 Y102 AB102 AE102 AH102 AK102 AN102 AQ102">
    <cfRule type="cellIs" dxfId="653" priority="379" operator="lessThan">
      <formula>0.05</formula>
    </cfRule>
  </conditionalFormatting>
  <conditionalFormatting sqref="X102 AA102 AD102 AG102 AJ102 AM102 AP102 AS102">
    <cfRule type="containsBlanks" dxfId="652" priority="383">
      <formula>LEN(TRIM(X102))=0</formula>
    </cfRule>
  </conditionalFormatting>
  <conditionalFormatting sqref="X102 AA102 AD102 AG102 AJ102 AM102 AP102 AS102">
    <cfRule type="containsBlanks" dxfId="651" priority="381">
      <formula>LEN(TRIM(X102))=0</formula>
    </cfRule>
    <cfRule type="containsBlanks" dxfId="650" priority="382">
      <formula>LEN(TRIM(X102))=0</formula>
    </cfRule>
  </conditionalFormatting>
  <conditionalFormatting sqref="W102 Z102 AC102 AF102 AI102 AL102 AO102 AR102">
    <cfRule type="cellIs" dxfId="649" priority="380" operator="lessThan">
      <formula>0.05</formula>
    </cfRule>
  </conditionalFormatting>
  <conditionalFormatting sqref="S78:U78">
    <cfRule type="containsBlanks" dxfId="648" priority="377">
      <formula>LEN(TRIM(S78))=0</formula>
    </cfRule>
    <cfRule type="containsBlanks" dxfId="647" priority="378">
      <formula>LEN(TRIM(S78))=0</formula>
    </cfRule>
  </conditionalFormatting>
  <conditionalFormatting sqref="S78:U78">
    <cfRule type="containsBlanks" dxfId="646" priority="376">
      <formula>LEN(TRIM(S78))=0</formula>
    </cfRule>
  </conditionalFormatting>
  <conditionalFormatting sqref="S72:AM72">
    <cfRule type="containsBlanks" dxfId="645" priority="374">
      <formula>LEN(TRIM(S72))=0</formula>
    </cfRule>
    <cfRule type="containsBlanks" dxfId="644" priority="375">
      <formula>LEN(TRIM(S72))=0</formula>
    </cfRule>
  </conditionalFormatting>
  <conditionalFormatting sqref="S72:AM72">
    <cfRule type="containsBlanks" dxfId="643" priority="373">
      <formula>LEN(TRIM(S72))=0</formula>
    </cfRule>
  </conditionalFormatting>
  <conditionalFormatting sqref="Y92 AB92 AE92 AH92 AK92 AN92 AQ92">
    <cfRule type="cellIs" dxfId="642" priority="363" operator="lessThan">
      <formula>0.05</formula>
    </cfRule>
  </conditionalFormatting>
  <conditionalFormatting sqref="AA92 AD92 AG92 AJ92 AM92 AP92 AS92">
    <cfRule type="containsBlanks" dxfId="641" priority="367">
      <formula>LEN(TRIM(AA92))=0</formula>
    </cfRule>
  </conditionalFormatting>
  <conditionalFormatting sqref="AA92 AD92 AG92 AJ92 AM92 AP92 AS92">
    <cfRule type="containsBlanks" dxfId="640" priority="365">
      <formula>LEN(TRIM(AA92))=0</formula>
    </cfRule>
    <cfRule type="containsBlanks" dxfId="639" priority="366">
      <formula>LEN(TRIM(AA92))=0</formula>
    </cfRule>
  </conditionalFormatting>
  <conditionalFormatting sqref="Z92 AC92 AF92 AI92 AL92 AO92 AR92">
    <cfRule type="cellIs" dxfId="638" priority="364" operator="lessThan">
      <formula>0.05</formula>
    </cfRule>
  </conditionalFormatting>
  <conditionalFormatting sqref="S92:X92">
    <cfRule type="containsBlanks" dxfId="637" priority="361">
      <formula>LEN(TRIM(S92))=0</formula>
    </cfRule>
    <cfRule type="containsBlanks" dxfId="636" priority="362">
      <formula>LEN(TRIM(S92))=0</formula>
    </cfRule>
  </conditionalFormatting>
  <conditionalFormatting sqref="S92:X92">
    <cfRule type="containsBlanks" dxfId="635" priority="360">
      <formula>LEN(TRIM(S92))=0</formula>
    </cfRule>
  </conditionalFormatting>
  <conditionalFormatting sqref="S81:X81">
    <cfRule type="containsBlanks" dxfId="634" priority="358">
      <formula>LEN(TRIM(S81))=0</formula>
    </cfRule>
    <cfRule type="containsBlanks" dxfId="633" priority="359">
      <formula>LEN(TRIM(S81))=0</formula>
    </cfRule>
  </conditionalFormatting>
  <conditionalFormatting sqref="S81:X81">
    <cfRule type="containsBlanks" dxfId="632" priority="357">
      <formula>LEN(TRIM(S81))=0</formula>
    </cfRule>
  </conditionalFormatting>
  <conditionalFormatting sqref="AD81 AG81 AJ81 AM81 AP81 AS81 AV81 AY81 BB81">
    <cfRule type="containsBlanks" dxfId="631" priority="356">
      <formula>LEN(TRIM(AD81))=0</formula>
    </cfRule>
  </conditionalFormatting>
  <conditionalFormatting sqref="AD81 AG81 AJ81 AM81 AP81 AS81 AV81 AY81 BB81">
    <cfRule type="containsBlanks" dxfId="630" priority="354">
      <formula>LEN(TRIM(AD81))=0</formula>
    </cfRule>
    <cfRule type="containsBlanks" dxfId="629" priority="355">
      <formula>LEN(TRIM(AD81))=0</formula>
    </cfRule>
  </conditionalFormatting>
  <conditionalFormatting sqref="AB81 AE81 AH81 AK81 AN81 AQ81 AT81 AW81 AZ81">
    <cfRule type="cellIs" dxfId="628" priority="353" operator="lessThan">
      <formula>0.05</formula>
    </cfRule>
  </conditionalFormatting>
  <conditionalFormatting sqref="AC81 AF81 AI81 AL81 AO81 AR81 AU81 AX81 BA81">
    <cfRule type="cellIs" dxfId="627" priority="352" operator="lessThan">
      <formula>0.05</formula>
    </cfRule>
  </conditionalFormatting>
  <conditionalFormatting sqref="V67">
    <cfRule type="cellIs" dxfId="626" priority="348" operator="lessThan">
      <formula>0.05</formula>
    </cfRule>
  </conditionalFormatting>
  <conditionalFormatting sqref="X67">
    <cfRule type="containsBlanks" dxfId="625" priority="351">
      <formula>LEN(TRIM(X67))=0</formula>
    </cfRule>
  </conditionalFormatting>
  <conditionalFormatting sqref="X67">
    <cfRule type="containsBlanks" dxfId="624" priority="349">
      <formula>LEN(TRIM(X67))=0</formula>
    </cfRule>
    <cfRule type="containsBlanks" dxfId="623" priority="350">
      <formula>LEN(TRIM(X67))=0</formula>
    </cfRule>
  </conditionalFormatting>
  <conditionalFormatting sqref="W67">
    <cfRule type="cellIs" dxfId="622" priority="347" operator="lessThan">
      <formula>0.05</formula>
    </cfRule>
  </conditionalFormatting>
  <conditionalFormatting sqref="Y67 AB67">
    <cfRule type="cellIs" dxfId="621" priority="343" operator="lessThan">
      <formula>0.05</formula>
    </cfRule>
  </conditionalFormatting>
  <conditionalFormatting sqref="AA67 AD67">
    <cfRule type="containsBlanks" dxfId="620" priority="346">
      <formula>LEN(TRIM(AA67))=0</formula>
    </cfRule>
  </conditionalFormatting>
  <conditionalFormatting sqref="AA67 AD67">
    <cfRule type="containsBlanks" dxfId="619" priority="344">
      <formula>LEN(TRIM(AA67))=0</formula>
    </cfRule>
    <cfRule type="containsBlanks" dxfId="618" priority="345">
      <formula>LEN(TRIM(AA67))=0</formula>
    </cfRule>
  </conditionalFormatting>
  <conditionalFormatting sqref="Z67 AC67">
    <cfRule type="cellIs" dxfId="617" priority="342" operator="lessThan">
      <formula>0.05</formula>
    </cfRule>
  </conditionalFormatting>
  <conditionalFormatting sqref="AA86 AD86 AG86 AJ86 AM86 AP86 AS86">
    <cfRule type="containsBlanks" dxfId="616" priority="341">
      <formula>LEN(TRIM(AA86))=0</formula>
    </cfRule>
  </conditionalFormatting>
  <conditionalFormatting sqref="AA86 AD86 AG86 AJ86 AM86 AP86 AS86">
    <cfRule type="containsBlanks" dxfId="615" priority="339">
      <formula>LEN(TRIM(AA86))=0</formula>
    </cfRule>
    <cfRule type="containsBlanks" dxfId="614" priority="340">
      <formula>LEN(TRIM(AA86))=0</formula>
    </cfRule>
  </conditionalFormatting>
  <conditionalFormatting sqref="Z86 AC86 AF86 AI86 AL86 AO86 AR86">
    <cfRule type="cellIs" dxfId="613" priority="338" operator="lessThan">
      <formula>0.05</formula>
    </cfRule>
  </conditionalFormatting>
  <conditionalFormatting sqref="Y86 AB86 AE86 AH86 AK86 AN86 AQ86">
    <cfRule type="cellIs" dxfId="612" priority="337" operator="lessThan">
      <formula>0.05</formula>
    </cfRule>
  </conditionalFormatting>
  <conditionalFormatting sqref="AB90 AE90 AH90 AK90 AN90 AQ90">
    <cfRule type="cellIs" dxfId="611" priority="328" operator="lessThan">
      <formula>0.05</formula>
    </cfRule>
  </conditionalFormatting>
  <conditionalFormatting sqref="AC90 AF90 AI90 AL90 AO90 AR90">
    <cfRule type="cellIs" dxfId="610" priority="327" operator="lessThan">
      <formula>0.05</formula>
    </cfRule>
  </conditionalFormatting>
  <conditionalFormatting sqref="AD90 AG90 AJ90 AM90 AP90 AS90">
    <cfRule type="containsBlanks" dxfId="609" priority="336">
      <formula>LEN(TRIM(AD90))=0</formula>
    </cfRule>
  </conditionalFormatting>
  <conditionalFormatting sqref="AD90 AG90 AJ90 AM90 AP90 AS90">
    <cfRule type="containsBlanks" dxfId="608" priority="334">
      <formula>LEN(TRIM(AD90))=0</formula>
    </cfRule>
    <cfRule type="containsBlanks" dxfId="607" priority="335">
      <formula>LEN(TRIM(AD90))=0</formula>
    </cfRule>
  </conditionalFormatting>
  <conditionalFormatting sqref="AB90 AE90 AH90 AK90 AN90 AQ90">
    <cfRule type="cellIs" dxfId="606" priority="333" operator="lessThan">
      <formula>0.05</formula>
    </cfRule>
  </conditionalFormatting>
  <conditionalFormatting sqref="AC90 AF90 AI90 AL90 AO90 AR90">
    <cfRule type="cellIs" dxfId="605" priority="332" operator="lessThan">
      <formula>0.05</formula>
    </cfRule>
  </conditionalFormatting>
  <conditionalFormatting sqref="AD90 AG90 AJ90 AM90 AP90 AS90">
    <cfRule type="containsBlanks" dxfId="604" priority="331">
      <formula>LEN(TRIM(AD90))=0</formula>
    </cfRule>
  </conditionalFormatting>
  <conditionalFormatting sqref="AD90 AG90 AJ90 AM90 AP90 AS90">
    <cfRule type="containsBlanks" dxfId="603" priority="329">
      <formula>LEN(TRIM(AD90))=0</formula>
    </cfRule>
    <cfRule type="containsBlanks" dxfId="602" priority="330">
      <formula>LEN(TRIM(AD90))=0</formula>
    </cfRule>
  </conditionalFormatting>
  <conditionalFormatting sqref="V87:AS87">
    <cfRule type="containsBlanks" dxfId="601" priority="322">
      <formula>LEN(TRIM(V87))=0</formula>
    </cfRule>
    <cfRule type="containsBlanks" dxfId="600" priority="323">
      <formula>LEN(TRIM(V87))=0</formula>
    </cfRule>
  </conditionalFormatting>
  <conditionalFormatting sqref="V87:AS87">
    <cfRule type="containsBlanks" dxfId="599" priority="321">
      <formula>LEN(TRIM(V87))=0</formula>
    </cfRule>
  </conditionalFormatting>
  <conditionalFormatting sqref="V83:AS83 V84:X85">
    <cfRule type="containsBlanks" dxfId="598" priority="319">
      <formula>LEN(TRIM(V83))=0</formula>
    </cfRule>
    <cfRule type="containsBlanks" dxfId="597" priority="320">
      <formula>LEN(TRIM(V83))=0</formula>
    </cfRule>
  </conditionalFormatting>
  <conditionalFormatting sqref="V83:AS83 V84:X85">
    <cfRule type="containsBlanks" dxfId="596" priority="318">
      <formula>LEN(TRIM(V83))=0</formula>
    </cfRule>
  </conditionalFormatting>
  <conditionalFormatting sqref="V78:X78">
    <cfRule type="containsBlanks" dxfId="595" priority="316">
      <formula>LEN(TRIM(V78))=0</formula>
    </cfRule>
    <cfRule type="containsBlanks" dxfId="594" priority="317">
      <formula>LEN(TRIM(V78))=0</formula>
    </cfRule>
  </conditionalFormatting>
  <conditionalFormatting sqref="V78:X78">
    <cfRule type="containsBlanks" dxfId="593" priority="315">
      <formula>LEN(TRIM(V78))=0</formula>
    </cfRule>
  </conditionalFormatting>
  <conditionalFormatting sqref="S74:BB74">
    <cfRule type="containsBlanks" dxfId="592" priority="313">
      <formula>LEN(TRIM(S74))=0</formula>
    </cfRule>
    <cfRule type="containsBlanks" dxfId="591" priority="314">
      <formula>LEN(TRIM(S74))=0</formula>
    </cfRule>
  </conditionalFormatting>
  <conditionalFormatting sqref="S74:BB74">
    <cfRule type="containsBlanks" dxfId="590" priority="312">
      <formula>LEN(TRIM(S74))=0</formula>
    </cfRule>
  </conditionalFormatting>
  <conditionalFormatting sqref="Y94 AB94 AE94 AH94 AK94 AN94 AQ94">
    <cfRule type="cellIs" dxfId="589" priority="307" operator="lessThan">
      <formula>0.05</formula>
    </cfRule>
  </conditionalFormatting>
  <conditionalFormatting sqref="AA94 AD94 AG94 AJ94 AM94 AP94 AS94">
    <cfRule type="containsBlanks" dxfId="588" priority="311">
      <formula>LEN(TRIM(AA94))=0</formula>
    </cfRule>
  </conditionalFormatting>
  <conditionalFormatting sqref="AA94 AD94 AG94 AJ94 AM94 AP94 AS94">
    <cfRule type="containsBlanks" dxfId="587" priority="309">
      <formula>LEN(TRIM(AA94))=0</formula>
    </cfRule>
    <cfRule type="containsBlanks" dxfId="586" priority="310">
      <formula>LEN(TRIM(AA94))=0</formula>
    </cfRule>
  </conditionalFormatting>
  <conditionalFormatting sqref="Z94 AC94 AF94 AI94 AL94 AO94 AR94">
    <cfRule type="cellIs" dxfId="585" priority="308" operator="lessThan">
      <formula>0.05</formula>
    </cfRule>
  </conditionalFormatting>
  <conditionalFormatting sqref="S107:U107">
    <cfRule type="containsBlanks" dxfId="584" priority="306">
      <formula>LEN(TRIM(S107))=0</formula>
    </cfRule>
  </conditionalFormatting>
  <conditionalFormatting sqref="S107:U107">
    <cfRule type="containsBlanks" dxfId="583" priority="304">
      <formula>LEN(TRIM(S107))=0</formula>
    </cfRule>
    <cfRule type="containsBlanks" dxfId="582" priority="305">
      <formula>LEN(TRIM(S107))=0</formula>
    </cfRule>
  </conditionalFormatting>
  <conditionalFormatting sqref="U107">
    <cfRule type="containsBlanks" dxfId="581" priority="303">
      <formula>LEN(TRIM(U107))=0</formula>
    </cfRule>
  </conditionalFormatting>
  <conditionalFormatting sqref="U107">
    <cfRule type="containsBlanks" dxfId="580" priority="301">
      <formula>LEN(TRIM(U107))=0</formula>
    </cfRule>
    <cfRule type="containsBlanks" dxfId="579" priority="302">
      <formula>LEN(TRIM(U107))=0</formula>
    </cfRule>
  </conditionalFormatting>
  <conditionalFormatting sqref="S107">
    <cfRule type="cellIs" dxfId="578" priority="300" operator="lessThan">
      <formula>0.05</formula>
    </cfRule>
  </conditionalFormatting>
  <conditionalFormatting sqref="T107">
    <cfRule type="cellIs" dxfId="577" priority="299" operator="lessThan">
      <formula>0.05</formula>
    </cfRule>
  </conditionalFormatting>
  <conditionalFormatting sqref="AD107">
    <cfRule type="containsBlanks" dxfId="576" priority="298">
      <formula>LEN(TRIM(AD107))=0</formula>
    </cfRule>
  </conditionalFormatting>
  <conditionalFormatting sqref="AD107">
    <cfRule type="containsBlanks" dxfId="575" priority="296">
      <formula>LEN(TRIM(AD107))=0</formula>
    </cfRule>
    <cfRule type="containsBlanks" dxfId="574" priority="297">
      <formula>LEN(TRIM(AD107))=0</formula>
    </cfRule>
  </conditionalFormatting>
  <conditionalFormatting sqref="AB107">
    <cfRule type="cellIs" dxfId="573" priority="295" operator="lessThan">
      <formula>0.05</formula>
    </cfRule>
  </conditionalFormatting>
  <conditionalFormatting sqref="AC107">
    <cfRule type="cellIs" dxfId="572" priority="294" operator="lessThan">
      <formula>0.05</formula>
    </cfRule>
  </conditionalFormatting>
  <conditionalFormatting sqref="AG107 AJ107">
    <cfRule type="containsBlanks" dxfId="571" priority="293">
      <formula>LEN(TRIM(AG107))=0</formula>
    </cfRule>
  </conditionalFormatting>
  <conditionalFormatting sqref="AG107 AJ107">
    <cfRule type="containsBlanks" dxfId="570" priority="291">
      <formula>LEN(TRIM(AG107))=0</formula>
    </cfRule>
    <cfRule type="containsBlanks" dxfId="569" priority="292">
      <formula>LEN(TRIM(AG107))=0</formula>
    </cfRule>
  </conditionalFormatting>
  <conditionalFormatting sqref="AE107 AH107">
    <cfRule type="cellIs" dxfId="568" priority="290" operator="lessThan">
      <formula>0.05</formula>
    </cfRule>
  </conditionalFormatting>
  <conditionalFormatting sqref="AF107 AI107">
    <cfRule type="cellIs" dxfId="567" priority="289" operator="lessThan">
      <formula>0.05</formula>
    </cfRule>
  </conditionalFormatting>
  <conditionalFormatting sqref="AA78">
    <cfRule type="containsBlanks" dxfId="566" priority="288">
      <formula>LEN(TRIM(AA78))=0</formula>
    </cfRule>
  </conditionalFormatting>
  <conditionalFormatting sqref="AA78">
    <cfRule type="containsBlanks" dxfId="565" priority="286">
      <formula>LEN(TRIM(AA78))=0</formula>
    </cfRule>
    <cfRule type="containsBlanks" dxfId="564" priority="287">
      <formula>LEN(TRIM(AA78))=0</formula>
    </cfRule>
  </conditionalFormatting>
  <conditionalFormatting sqref="Y78">
    <cfRule type="cellIs" dxfId="563" priority="285" operator="lessThan">
      <formula>0.05</formula>
    </cfRule>
  </conditionalFormatting>
  <conditionalFormatting sqref="Z78">
    <cfRule type="cellIs" dxfId="562" priority="284" operator="lessThan">
      <formula>0.05</formula>
    </cfRule>
  </conditionalFormatting>
  <conditionalFormatting sqref="Y78:AA78">
    <cfRule type="containsBlanks" dxfId="561" priority="282">
      <formula>LEN(TRIM(Y78))=0</formula>
    </cfRule>
    <cfRule type="containsBlanks" dxfId="560" priority="283">
      <formula>LEN(TRIM(Y78))=0</formula>
    </cfRule>
  </conditionalFormatting>
  <conditionalFormatting sqref="Y78:AA78">
    <cfRule type="containsBlanks" dxfId="559" priority="281">
      <formula>LEN(TRIM(Y78))=0</formula>
    </cfRule>
  </conditionalFormatting>
  <conditionalFormatting sqref="AB101 AE101 AH101 AK101 AN101 AQ101">
    <cfRule type="cellIs" dxfId="558" priority="276" operator="lessThan">
      <formula>0.05</formula>
    </cfRule>
  </conditionalFormatting>
  <conditionalFormatting sqref="AD101 AG101 AJ101 AM101 AP101 AS101">
    <cfRule type="containsBlanks" dxfId="557" priority="280">
      <formula>LEN(TRIM(AD101))=0</formula>
    </cfRule>
  </conditionalFormatting>
  <conditionalFormatting sqref="AD101 AG101 AJ101 AM101 AP101 AS101">
    <cfRule type="containsBlanks" dxfId="556" priority="278">
      <formula>LEN(TRIM(AD101))=0</formula>
    </cfRule>
    <cfRule type="containsBlanks" dxfId="555" priority="279">
      <formula>LEN(TRIM(AD101))=0</formula>
    </cfRule>
  </conditionalFormatting>
  <conditionalFormatting sqref="AC101 AF101 AI101 AL101 AO101 AR101">
    <cfRule type="cellIs" dxfId="554" priority="277" operator="lessThan">
      <formula>0.05</formula>
    </cfRule>
  </conditionalFormatting>
  <conditionalFormatting sqref="S84:U85">
    <cfRule type="containsBlanks" dxfId="553" priority="274">
      <formula>LEN(TRIM(S84))=0</formula>
    </cfRule>
    <cfRule type="containsBlanks" dxfId="552" priority="275">
      <formula>LEN(TRIM(S84))=0</formula>
    </cfRule>
  </conditionalFormatting>
  <conditionalFormatting sqref="S84:U85">
    <cfRule type="containsBlanks" dxfId="551" priority="273">
      <formula>LEN(TRIM(S84))=0</formula>
    </cfRule>
  </conditionalFormatting>
  <conditionalFormatting sqref="AD84">
    <cfRule type="containsBlanks" dxfId="550" priority="272">
      <formula>LEN(TRIM(AD84))=0</formula>
    </cfRule>
  </conditionalFormatting>
  <conditionalFormatting sqref="AD84">
    <cfRule type="containsBlanks" dxfId="549" priority="270">
      <formula>LEN(TRIM(AD84))=0</formula>
    </cfRule>
    <cfRule type="containsBlanks" dxfId="548" priority="271">
      <formula>LEN(TRIM(AD84))=0</formula>
    </cfRule>
  </conditionalFormatting>
  <conditionalFormatting sqref="AC84">
    <cfRule type="cellIs" dxfId="547" priority="269" operator="lessThan">
      <formula>0.05</formula>
    </cfRule>
  </conditionalFormatting>
  <conditionalFormatting sqref="AB84">
    <cfRule type="cellIs" dxfId="546" priority="268" operator="lessThan">
      <formula>0.05</formula>
    </cfRule>
  </conditionalFormatting>
  <conditionalFormatting sqref="M85">
    <cfRule type="containsBlanks" dxfId="545" priority="267">
      <formula>LEN(TRIM(M85))=0</formula>
    </cfRule>
  </conditionalFormatting>
  <conditionalFormatting sqref="Q85">
    <cfRule type="containsBlanks" dxfId="544" priority="266">
      <formula>LEN(TRIM(Q85))=0</formula>
    </cfRule>
  </conditionalFormatting>
  <conditionalFormatting sqref="AD85">
    <cfRule type="containsBlanks" dxfId="543" priority="265">
      <formula>LEN(TRIM(AD85))=0</formula>
    </cfRule>
  </conditionalFormatting>
  <conditionalFormatting sqref="AD85">
    <cfRule type="containsBlanks" dxfId="542" priority="263">
      <formula>LEN(TRIM(AD85))=0</formula>
    </cfRule>
    <cfRule type="containsBlanks" dxfId="541" priority="264">
      <formula>LEN(TRIM(AD85))=0</formula>
    </cfRule>
  </conditionalFormatting>
  <conditionalFormatting sqref="AC85">
    <cfRule type="cellIs" dxfId="540" priority="262" operator="lessThan">
      <formula>0.05</formula>
    </cfRule>
  </conditionalFormatting>
  <conditionalFormatting sqref="AB85">
    <cfRule type="cellIs" dxfId="539" priority="261" operator="lessThan">
      <formula>0.05</formula>
    </cfRule>
  </conditionalFormatting>
  <conditionalFormatting sqref="S97:U97">
    <cfRule type="containsBlanks" dxfId="538" priority="259">
      <formula>LEN(TRIM(S97))=0</formula>
    </cfRule>
    <cfRule type="containsBlanks" dxfId="537" priority="260">
      <formula>LEN(TRIM(S97))=0</formula>
    </cfRule>
  </conditionalFormatting>
  <conditionalFormatting sqref="S97:U97">
    <cfRule type="containsBlanks" dxfId="536" priority="258">
      <formula>LEN(TRIM(S97))=0</formula>
    </cfRule>
  </conditionalFormatting>
  <conditionalFormatting sqref="V97:AA97">
    <cfRule type="containsBlanks" dxfId="535" priority="256">
      <formula>LEN(TRIM(V97))=0</formula>
    </cfRule>
    <cfRule type="containsBlanks" dxfId="534" priority="257">
      <formula>LEN(TRIM(V97))=0</formula>
    </cfRule>
  </conditionalFormatting>
  <conditionalFormatting sqref="V97:AA97">
    <cfRule type="containsBlanks" dxfId="533" priority="255">
      <formula>LEN(TRIM(V97))=0</formula>
    </cfRule>
  </conditionalFormatting>
  <conditionalFormatting sqref="AB97">
    <cfRule type="cellIs" dxfId="532" priority="250" operator="lessThan">
      <formula>0.05</formula>
    </cfRule>
  </conditionalFormatting>
  <conditionalFormatting sqref="AD97">
    <cfRule type="containsBlanks" dxfId="531" priority="254">
      <formula>LEN(TRIM(AD97))=0</formula>
    </cfRule>
  </conditionalFormatting>
  <conditionalFormatting sqref="AD97">
    <cfRule type="containsBlanks" dxfId="530" priority="252">
      <formula>LEN(TRIM(AD97))=0</formula>
    </cfRule>
    <cfRule type="containsBlanks" dxfId="529" priority="253">
      <formula>LEN(TRIM(AD97))=0</formula>
    </cfRule>
  </conditionalFormatting>
  <conditionalFormatting sqref="AC97">
    <cfRule type="cellIs" dxfId="528" priority="251" operator="lessThan">
      <formula>0.05</formula>
    </cfRule>
  </conditionalFormatting>
  <conditionalFormatting sqref="AM107">
    <cfRule type="containsBlanks" dxfId="527" priority="249">
      <formula>LEN(TRIM(AM107))=0</formula>
    </cfRule>
  </conditionalFormatting>
  <conditionalFormatting sqref="AM107">
    <cfRule type="containsBlanks" dxfId="526" priority="247">
      <formula>LEN(TRIM(AM107))=0</formula>
    </cfRule>
    <cfRule type="containsBlanks" dxfId="525" priority="248">
      <formula>LEN(TRIM(AM107))=0</formula>
    </cfRule>
  </conditionalFormatting>
  <conditionalFormatting sqref="AL107">
    <cfRule type="cellIs" dxfId="524" priority="246" operator="lessThan">
      <formula>0.05</formula>
    </cfRule>
  </conditionalFormatting>
  <conditionalFormatting sqref="AK107">
    <cfRule type="cellIs" dxfId="523" priority="245" operator="lessThan">
      <formula>0.05</formula>
    </cfRule>
  </conditionalFormatting>
  <conditionalFormatting sqref="AM107">
    <cfRule type="containsBlanks" dxfId="522" priority="244">
      <formula>LEN(TRIM(AM107))=0</formula>
    </cfRule>
  </conditionalFormatting>
  <conditionalFormatting sqref="AM107">
    <cfRule type="containsBlanks" dxfId="521" priority="242">
      <formula>LEN(TRIM(AM107))=0</formula>
    </cfRule>
    <cfRule type="containsBlanks" dxfId="520" priority="243">
      <formula>LEN(TRIM(AM107))=0</formula>
    </cfRule>
  </conditionalFormatting>
  <conditionalFormatting sqref="AK107">
    <cfRule type="cellIs" dxfId="519" priority="241" operator="lessThan">
      <formula>0.05</formula>
    </cfRule>
  </conditionalFormatting>
  <conditionalFormatting sqref="AL107">
    <cfRule type="cellIs" dxfId="518" priority="240" operator="lessThan">
      <formula>0.05</formula>
    </cfRule>
  </conditionalFormatting>
  <conditionalFormatting sqref="AT107:AU107 AW107:AX107 AZ107:BA107">
    <cfRule type="cellIs" dxfId="517" priority="239" operator="lessThan">
      <formula>0.05</formula>
    </cfRule>
  </conditionalFormatting>
  <conditionalFormatting sqref="AT107:BB107">
    <cfRule type="containsBlanks" dxfId="516" priority="238">
      <formula>LEN(TRIM(AT107))=0</formula>
    </cfRule>
  </conditionalFormatting>
  <conditionalFormatting sqref="AT107:BB107">
    <cfRule type="containsBlanks" dxfId="515" priority="236">
      <formula>LEN(TRIM(AT107))=0</formula>
    </cfRule>
    <cfRule type="containsBlanks" dxfId="514" priority="237">
      <formula>LEN(TRIM(AT107))=0</formula>
    </cfRule>
  </conditionalFormatting>
  <conditionalFormatting sqref="AV107 AY107 BB107">
    <cfRule type="containsBlanks" dxfId="513" priority="235">
      <formula>LEN(TRIM(AV107))=0</formula>
    </cfRule>
  </conditionalFormatting>
  <conditionalFormatting sqref="AV107 AY107 BB107">
    <cfRule type="containsBlanks" dxfId="512" priority="233">
      <formula>LEN(TRIM(AV107))=0</formula>
    </cfRule>
    <cfRule type="containsBlanks" dxfId="511" priority="234">
      <formula>LEN(TRIM(AV107))=0</formula>
    </cfRule>
  </conditionalFormatting>
  <conditionalFormatting sqref="AU107 AX107 BA107">
    <cfRule type="cellIs" dxfId="510" priority="232" operator="lessThan">
      <formula>0.05</formula>
    </cfRule>
  </conditionalFormatting>
  <conditionalFormatting sqref="AT107 AW107 AZ107">
    <cfRule type="cellIs" dxfId="509" priority="231" operator="lessThan">
      <formula>0.05</formula>
    </cfRule>
  </conditionalFormatting>
  <conditionalFormatting sqref="Y84:AA85">
    <cfRule type="containsBlanks" dxfId="508" priority="229">
      <formula>LEN(TRIM(Y84))=0</formula>
    </cfRule>
    <cfRule type="containsBlanks" dxfId="507" priority="230">
      <formula>LEN(TRIM(Y84))=0</formula>
    </cfRule>
  </conditionalFormatting>
  <conditionalFormatting sqref="Y84:AA85">
    <cfRule type="containsBlanks" dxfId="506" priority="228">
      <formula>LEN(TRIM(Y84))=0</formula>
    </cfRule>
  </conditionalFormatting>
  <conditionalFormatting sqref="AK89:AP89">
    <cfRule type="containsBlanks" dxfId="505" priority="226">
      <formula>LEN(TRIM(AK89))=0</formula>
    </cfRule>
    <cfRule type="containsBlanks" dxfId="504" priority="227">
      <formula>LEN(TRIM(AK89))=0</formula>
    </cfRule>
  </conditionalFormatting>
  <conditionalFormatting sqref="AK89:AP89">
    <cfRule type="containsBlanks" dxfId="503" priority="225">
      <formula>LEN(TRIM(AK89))=0</formula>
    </cfRule>
  </conditionalFormatting>
  <conditionalFormatting sqref="AD78">
    <cfRule type="containsBlanks" dxfId="502" priority="224">
      <formula>LEN(TRIM(AD78))=0</formula>
    </cfRule>
  </conditionalFormatting>
  <conditionalFormatting sqref="AD78">
    <cfRule type="containsBlanks" dxfId="501" priority="222">
      <formula>LEN(TRIM(AD78))=0</formula>
    </cfRule>
    <cfRule type="containsBlanks" dxfId="500" priority="223">
      <formula>LEN(TRIM(AD78))=0</formula>
    </cfRule>
  </conditionalFormatting>
  <conditionalFormatting sqref="AB78">
    <cfRule type="cellIs" dxfId="499" priority="221" operator="lessThan">
      <formula>0.05</formula>
    </cfRule>
  </conditionalFormatting>
  <conditionalFormatting sqref="AC78">
    <cfRule type="cellIs" dxfId="498" priority="220" operator="lessThan">
      <formula>0.05</formula>
    </cfRule>
  </conditionalFormatting>
  <conditionalFormatting sqref="AB78:AJ78">
    <cfRule type="containsBlanks" dxfId="497" priority="218">
      <formula>LEN(TRIM(AB78))=0</formula>
    </cfRule>
    <cfRule type="containsBlanks" dxfId="496" priority="219">
      <formula>LEN(TRIM(AB78))=0</formula>
    </cfRule>
  </conditionalFormatting>
  <conditionalFormatting sqref="AB78:AJ78">
    <cfRule type="containsBlanks" dxfId="495" priority="217">
      <formula>LEN(TRIM(AB78))=0</formula>
    </cfRule>
  </conditionalFormatting>
  <conditionalFormatting sqref="AN39:AO40 AQ39:AR40 AN41:AS41">
    <cfRule type="cellIs" dxfId="494" priority="210" operator="lessThan">
      <formula>0.05</formula>
    </cfRule>
  </conditionalFormatting>
  <conditionalFormatting sqref="AN43:AS44">
    <cfRule type="cellIs" dxfId="493" priority="209" operator="lessThan">
      <formula>0.05</formula>
    </cfRule>
  </conditionalFormatting>
  <conditionalFormatting sqref="AN43:AS44">
    <cfRule type="containsBlanks" dxfId="492" priority="208">
      <formula>LEN(TRIM(AN43))=0</formula>
    </cfRule>
  </conditionalFormatting>
  <conditionalFormatting sqref="AN44 AQ44">
    <cfRule type="containsBlanks" dxfId="491" priority="207">
      <formula>LEN(TRIM(AN44))=0</formula>
    </cfRule>
  </conditionalFormatting>
  <conditionalFormatting sqref="AP39:AP40 AS39:AS40">
    <cfRule type="cellIs" dxfId="490" priority="206" operator="lessThan">
      <formula>0.05</formula>
    </cfRule>
  </conditionalFormatting>
  <conditionalFormatting sqref="AG84 AJ84 AM84 AP84 AS84">
    <cfRule type="containsBlanks" dxfId="489" priority="198">
      <formula>LEN(TRIM(AG84))=0</formula>
    </cfRule>
  </conditionalFormatting>
  <conditionalFormatting sqref="AG84 AJ84 AM84 AP84 AS84">
    <cfRule type="containsBlanks" dxfId="488" priority="196">
      <formula>LEN(TRIM(AG84))=0</formula>
    </cfRule>
    <cfRule type="containsBlanks" dxfId="487" priority="197">
      <formula>LEN(TRIM(AG84))=0</formula>
    </cfRule>
  </conditionalFormatting>
  <conditionalFormatting sqref="AF84 AI84 AL84 AO84 AR84">
    <cfRule type="cellIs" dxfId="486" priority="195" operator="lessThan">
      <formula>0.05</formula>
    </cfRule>
  </conditionalFormatting>
  <conditionalFormatting sqref="AE84 AH84 AK84 AN84 AQ84">
    <cfRule type="cellIs" dxfId="485" priority="194" operator="lessThan">
      <formula>0.05</formula>
    </cfRule>
  </conditionalFormatting>
  <conditionalFormatting sqref="AG85 AJ85 AM85 AP85 AS85">
    <cfRule type="containsBlanks" dxfId="484" priority="193">
      <formula>LEN(TRIM(AG85))=0</formula>
    </cfRule>
  </conditionalFormatting>
  <conditionalFormatting sqref="AG85 AJ85 AM85 AP85 AS85">
    <cfRule type="containsBlanks" dxfId="483" priority="191">
      <formula>LEN(TRIM(AG85))=0</formula>
    </cfRule>
    <cfRule type="containsBlanks" dxfId="482" priority="192">
      <formula>LEN(TRIM(AG85))=0</formula>
    </cfRule>
  </conditionalFormatting>
  <conditionalFormatting sqref="AF85 AI85 AL85 AO85 AR85">
    <cfRule type="cellIs" dxfId="481" priority="190" operator="lessThan">
      <formula>0.05</formula>
    </cfRule>
  </conditionalFormatting>
  <conditionalFormatting sqref="AE85 AH85 AK85 AN85 AQ85">
    <cfRule type="cellIs" dxfId="480" priority="189" operator="lessThan">
      <formula>0.05</formula>
    </cfRule>
  </conditionalFormatting>
  <conditionalFormatting sqref="AE97 AH97 AK97 AN97 AQ97">
    <cfRule type="cellIs" dxfId="479" priority="184" operator="lessThan">
      <formula>0.05</formula>
    </cfRule>
  </conditionalFormatting>
  <conditionalFormatting sqref="AG97 AJ97 AM97 AP97 AS97">
    <cfRule type="containsBlanks" dxfId="478" priority="188">
      <formula>LEN(TRIM(AG97))=0</formula>
    </cfRule>
  </conditionalFormatting>
  <conditionalFormatting sqref="AG97 AJ97 AM97 AP97 AS97">
    <cfRule type="containsBlanks" dxfId="477" priority="186">
      <formula>LEN(TRIM(AG97))=0</formula>
    </cfRule>
    <cfRule type="containsBlanks" dxfId="476" priority="187">
      <formula>LEN(TRIM(AG97))=0</formula>
    </cfRule>
  </conditionalFormatting>
  <conditionalFormatting sqref="AF97 AI97 AL97 AO97 AR97">
    <cfRule type="cellIs" dxfId="475" priority="185" operator="lessThan">
      <formula>0.05</formula>
    </cfRule>
  </conditionalFormatting>
  <conditionalFormatting sqref="N114:Q115">
    <cfRule type="containsBlanks" dxfId="474" priority="183">
      <formula>LEN(TRIM(N114))=0</formula>
    </cfRule>
  </conditionalFormatting>
  <conditionalFormatting sqref="L114:M115">
    <cfRule type="containsBlanks" dxfId="473" priority="182">
      <formula>LEN(TRIM(L114))=0</formula>
    </cfRule>
  </conditionalFormatting>
  <conditionalFormatting sqref="L114:M115">
    <cfRule type="containsBlanks" dxfId="472" priority="181">
      <formula>LEN(TRIM(L114))=0</formula>
    </cfRule>
  </conditionalFormatting>
  <conditionalFormatting sqref="U113:U115 X113:X115 AA113:AA115 AD113:AD115 AG113:AG115">
    <cfRule type="containsBlanks" dxfId="471" priority="180">
      <formula>LEN(TRIM(U113))=0</formula>
    </cfRule>
  </conditionalFormatting>
  <conditionalFormatting sqref="U113:U115 X113:X115 AA113:AA115 AD113:AD115 AG113:AG115">
    <cfRule type="containsBlanks" dxfId="470" priority="178">
      <formula>LEN(TRIM(U113))=0</formula>
    </cfRule>
    <cfRule type="containsBlanks" dxfId="469" priority="179">
      <formula>LEN(TRIM(U113))=0</formula>
    </cfRule>
  </conditionalFormatting>
  <conditionalFormatting sqref="T113:T115 W113:W115 Z113:Z115 AC113:AC115 AF113:AF115">
    <cfRule type="cellIs" dxfId="468" priority="177" operator="lessThan">
      <formula>0.05</formula>
    </cfRule>
  </conditionalFormatting>
  <conditionalFormatting sqref="S113:S115 V113:V115 Y113:Y115 AB113:AB115 AE113:AE115">
    <cfRule type="cellIs" dxfId="467" priority="176" operator="lessThan">
      <formula>0.05</formula>
    </cfRule>
  </conditionalFormatting>
  <conditionalFormatting sqref="S114:AG115">
    <cfRule type="containsBlanks" dxfId="466" priority="175">
      <formula>LEN(TRIM(S114))=0</formula>
    </cfRule>
  </conditionalFormatting>
  <conditionalFormatting sqref="S114:AG115">
    <cfRule type="containsBlanks" dxfId="465" priority="173">
      <formula>LEN(TRIM(S114))=0</formula>
    </cfRule>
    <cfRule type="containsBlanks" dxfId="464" priority="174">
      <formula>LEN(TRIM(S114))=0</formula>
    </cfRule>
  </conditionalFormatting>
  <conditionalFormatting sqref="U113:U115 X113:X115 AA113:AA115 AD113:AD115 AG113:AG115">
    <cfRule type="containsBlanks" dxfId="463" priority="172">
      <formula>LEN(TRIM(U113))=0</formula>
    </cfRule>
  </conditionalFormatting>
  <conditionalFormatting sqref="U113:U115 X113:X115 AA113:AA115 AD113:AD115 AG113:AG115">
    <cfRule type="containsBlanks" dxfId="462" priority="170">
      <formula>LEN(TRIM(U113))=0</formula>
    </cfRule>
    <cfRule type="containsBlanks" dxfId="461" priority="171">
      <formula>LEN(TRIM(U113))=0</formula>
    </cfRule>
  </conditionalFormatting>
  <conditionalFormatting sqref="S113:S115 V113:V115 Y113:Y115 AB113:AB115 AE113:AE115">
    <cfRule type="cellIs" dxfId="460" priority="169" operator="lessThan">
      <formula>0.05</formula>
    </cfRule>
  </conditionalFormatting>
  <conditionalFormatting sqref="T113:T115 W113:W115 Z113:Z115 AC113:AC115 AF113:AF115">
    <cfRule type="cellIs" dxfId="459" priority="168" operator="lessThan">
      <formula>0.05</formula>
    </cfRule>
  </conditionalFormatting>
  <conditionalFormatting sqref="AG78 AJ78">
    <cfRule type="containsBlanks" dxfId="458" priority="167">
      <formula>LEN(TRIM(AG78))=0</formula>
    </cfRule>
  </conditionalFormatting>
  <conditionalFormatting sqref="AG78 AJ78">
    <cfRule type="containsBlanks" dxfId="457" priority="165">
      <formula>LEN(TRIM(AG78))=0</formula>
    </cfRule>
    <cfRule type="containsBlanks" dxfId="456" priority="166">
      <formula>LEN(TRIM(AG78))=0</formula>
    </cfRule>
  </conditionalFormatting>
  <conditionalFormatting sqref="AE78 AH78">
    <cfRule type="cellIs" dxfId="455" priority="164" operator="lessThan">
      <formula>0.05</formula>
    </cfRule>
  </conditionalFormatting>
  <conditionalFormatting sqref="AF78 AI78">
    <cfRule type="cellIs" dxfId="454" priority="163" operator="lessThan">
      <formula>0.05</formula>
    </cfRule>
  </conditionalFormatting>
  <conditionalFormatting sqref="AK42:AL42 AN42:AO42 AQ42:AR42">
    <cfRule type="cellIs" dxfId="453" priority="162" operator="lessThan">
      <formula>0.05</formula>
    </cfRule>
  </conditionalFormatting>
  <conditionalFormatting sqref="AM42 AP42 AS42">
    <cfRule type="cellIs" dxfId="452" priority="161" operator="lessThan">
      <formula>0.05</formula>
    </cfRule>
  </conditionalFormatting>
  <conditionalFormatting sqref="AK21:BB21">
    <cfRule type="cellIs" dxfId="451" priority="158" operator="lessThan">
      <formula>0.05</formula>
    </cfRule>
  </conditionalFormatting>
  <conditionalFormatting sqref="AK22:AL22 AN22:AO22 AQ22:AR22 AT22:AU22 AW22:AX22 AZ22:BA22">
    <cfRule type="cellIs" dxfId="450" priority="156" operator="lessThan">
      <formula>0.05</formula>
    </cfRule>
  </conditionalFormatting>
  <conditionalFormatting sqref="AM22 AP22">
    <cfRule type="cellIs" dxfId="449" priority="155" operator="lessThan">
      <formula>0.05</formula>
    </cfRule>
  </conditionalFormatting>
  <conditionalFormatting sqref="AJ115 AM115">
    <cfRule type="containsBlanks" dxfId="448" priority="145">
      <formula>LEN(TRIM(AJ115))=0</formula>
    </cfRule>
  </conditionalFormatting>
  <conditionalFormatting sqref="AJ115 AM115">
    <cfRule type="containsBlanks" dxfId="447" priority="143">
      <formula>LEN(TRIM(AJ115))=0</formula>
    </cfRule>
    <cfRule type="containsBlanks" dxfId="446" priority="144">
      <formula>LEN(TRIM(AJ115))=0</formula>
    </cfRule>
  </conditionalFormatting>
  <conditionalFormatting sqref="AI115 AL115">
    <cfRule type="cellIs" dxfId="445" priority="142" operator="lessThan">
      <formula>0.05</formula>
    </cfRule>
  </conditionalFormatting>
  <conditionalFormatting sqref="AH115 AK115">
    <cfRule type="cellIs" dxfId="444" priority="141" operator="lessThan">
      <formula>0.05</formula>
    </cfRule>
  </conditionalFormatting>
  <conditionalFormatting sqref="AH115:AM115">
    <cfRule type="containsBlanks" dxfId="443" priority="140">
      <formula>LEN(TRIM(AH115))=0</formula>
    </cfRule>
  </conditionalFormatting>
  <conditionalFormatting sqref="AH115:AM115">
    <cfRule type="containsBlanks" dxfId="442" priority="138">
      <formula>LEN(TRIM(AH115))=0</formula>
    </cfRule>
    <cfRule type="containsBlanks" dxfId="441" priority="139">
      <formula>LEN(TRIM(AH115))=0</formula>
    </cfRule>
  </conditionalFormatting>
  <conditionalFormatting sqref="AJ115 AM115">
    <cfRule type="containsBlanks" dxfId="440" priority="137">
      <formula>LEN(TRIM(AJ115))=0</formula>
    </cfRule>
  </conditionalFormatting>
  <conditionalFormatting sqref="AJ115 AM115">
    <cfRule type="containsBlanks" dxfId="439" priority="135">
      <formula>LEN(TRIM(AJ115))=0</formula>
    </cfRule>
    <cfRule type="containsBlanks" dxfId="438" priority="136">
      <formula>LEN(TRIM(AJ115))=0</formula>
    </cfRule>
  </conditionalFormatting>
  <conditionalFormatting sqref="AH115 AK115">
    <cfRule type="cellIs" dxfId="437" priority="134" operator="lessThan">
      <formula>0.05</formula>
    </cfRule>
  </conditionalFormatting>
  <conditionalFormatting sqref="AI115 AL115">
    <cfRule type="cellIs" dxfId="436" priority="133" operator="lessThan">
      <formula>0.05</formula>
    </cfRule>
  </conditionalFormatting>
  <conditionalFormatting sqref="N113:Q113">
    <cfRule type="containsBlanks" dxfId="435" priority="132">
      <formula>LEN(TRIM(N113))=0</formula>
    </cfRule>
  </conditionalFormatting>
  <conditionalFormatting sqref="S113:AP113">
    <cfRule type="containsBlanks" dxfId="434" priority="129">
      <formula>LEN(TRIM(S113))=0</formula>
    </cfRule>
  </conditionalFormatting>
  <conditionalFormatting sqref="S113:AP113">
    <cfRule type="containsBlanks" dxfId="433" priority="127">
      <formula>LEN(TRIM(S113))=0</formula>
    </cfRule>
    <cfRule type="containsBlanks" dxfId="432" priority="128">
      <formula>LEN(TRIM(S113))=0</formula>
    </cfRule>
  </conditionalFormatting>
  <conditionalFormatting sqref="L113:M113">
    <cfRule type="containsBlanks" dxfId="431" priority="126">
      <formula>LEN(TRIM(L113))=0</formula>
    </cfRule>
  </conditionalFormatting>
  <conditionalFormatting sqref="L113:M113">
    <cfRule type="containsBlanks" dxfId="430" priority="125">
      <formula>LEN(TRIM(L113))=0</formula>
    </cfRule>
  </conditionalFormatting>
  <conditionalFormatting sqref="AJ113 AM113">
    <cfRule type="containsBlanks" dxfId="429" priority="124">
      <formula>LEN(TRIM(AJ113))=0</formula>
    </cfRule>
  </conditionalFormatting>
  <conditionalFormatting sqref="AJ113 AM113">
    <cfRule type="containsBlanks" dxfId="428" priority="122">
      <formula>LEN(TRIM(AJ113))=0</formula>
    </cfRule>
    <cfRule type="containsBlanks" dxfId="427" priority="123">
      <formula>LEN(TRIM(AJ113))=0</formula>
    </cfRule>
  </conditionalFormatting>
  <conditionalFormatting sqref="AI113 AL113">
    <cfRule type="cellIs" dxfId="426" priority="121" operator="lessThan">
      <formula>0.05</formula>
    </cfRule>
  </conditionalFormatting>
  <conditionalFormatting sqref="AH113 AK113">
    <cfRule type="cellIs" dxfId="425" priority="120" operator="lessThan">
      <formula>0.05</formula>
    </cfRule>
  </conditionalFormatting>
  <conditionalFormatting sqref="AJ113 AM113">
    <cfRule type="containsBlanks" dxfId="424" priority="119">
      <formula>LEN(TRIM(AJ113))=0</formula>
    </cfRule>
  </conditionalFormatting>
  <conditionalFormatting sqref="AJ113 AM113">
    <cfRule type="containsBlanks" dxfId="423" priority="117">
      <formula>LEN(TRIM(AJ113))=0</formula>
    </cfRule>
    <cfRule type="containsBlanks" dxfId="422" priority="118">
      <formula>LEN(TRIM(AJ113))=0</formula>
    </cfRule>
  </conditionalFormatting>
  <conditionalFormatting sqref="AH113 AK113">
    <cfRule type="cellIs" dxfId="421" priority="116" operator="lessThan">
      <formula>0.05</formula>
    </cfRule>
  </conditionalFormatting>
  <conditionalFormatting sqref="AI113 AL113">
    <cfRule type="cellIs" dxfId="420" priority="115" operator="lessThan">
      <formula>0.05</formula>
    </cfRule>
  </conditionalFormatting>
  <conditionalFormatting sqref="AT113:BB113">
    <cfRule type="containsBlanks" dxfId="419" priority="114">
      <formula>LEN(TRIM(AT113))=0</formula>
    </cfRule>
  </conditionalFormatting>
  <conditionalFormatting sqref="AT113:BB113">
    <cfRule type="containsBlanks" dxfId="418" priority="112">
      <formula>LEN(TRIM(AT113))=0</formula>
    </cfRule>
    <cfRule type="containsBlanks" dxfId="417" priority="113">
      <formula>LEN(TRIM(AT113))=0</formula>
    </cfRule>
  </conditionalFormatting>
  <conditionalFormatting sqref="AV113 AY113 BB113">
    <cfRule type="containsBlanks" dxfId="416" priority="111">
      <formula>LEN(TRIM(AV113))=0</formula>
    </cfRule>
  </conditionalFormatting>
  <conditionalFormatting sqref="AV113 AY113 BB113">
    <cfRule type="containsBlanks" dxfId="415" priority="109">
      <formula>LEN(TRIM(AV113))=0</formula>
    </cfRule>
    <cfRule type="containsBlanks" dxfId="414" priority="110">
      <formula>LEN(TRIM(AV113))=0</formula>
    </cfRule>
  </conditionalFormatting>
  <conditionalFormatting sqref="AU113 AX113 BA113">
    <cfRule type="cellIs" dxfId="413" priority="108" operator="lessThan">
      <formula>0.05</formula>
    </cfRule>
  </conditionalFormatting>
  <conditionalFormatting sqref="AT113 AW113 AZ113">
    <cfRule type="cellIs" dxfId="412" priority="107" operator="lessThan">
      <formula>0.05</formula>
    </cfRule>
  </conditionalFormatting>
  <conditionalFormatting sqref="AV113 AY113 BB113">
    <cfRule type="containsBlanks" dxfId="411" priority="106">
      <formula>LEN(TRIM(AV113))=0</formula>
    </cfRule>
  </conditionalFormatting>
  <conditionalFormatting sqref="AV113 AY113 BB113">
    <cfRule type="containsBlanks" dxfId="410" priority="104">
      <formula>LEN(TRIM(AV113))=0</formula>
    </cfRule>
    <cfRule type="containsBlanks" dxfId="409" priority="105">
      <formula>LEN(TRIM(AV113))=0</formula>
    </cfRule>
  </conditionalFormatting>
  <conditionalFormatting sqref="AT113 AW113 AZ113">
    <cfRule type="cellIs" dxfId="408" priority="103" operator="lessThan">
      <formula>0.05</formula>
    </cfRule>
  </conditionalFormatting>
  <conditionalFormatting sqref="AU113 AX113 BA113">
    <cfRule type="cellIs" dxfId="407" priority="102" operator="lessThan">
      <formula>0.05</formula>
    </cfRule>
  </conditionalFormatting>
  <conditionalFormatting sqref="S71:AP71">
    <cfRule type="containsBlanks" dxfId="406" priority="100">
      <formula>LEN(TRIM(S71))=0</formula>
    </cfRule>
    <cfRule type="containsBlanks" dxfId="405" priority="101">
      <formula>LEN(TRIM(S71))=0</formula>
    </cfRule>
  </conditionalFormatting>
  <conditionalFormatting sqref="S71:AP71">
    <cfRule type="containsBlanks" dxfId="404" priority="99">
      <formula>LEN(TRIM(S71))=0</formula>
    </cfRule>
  </conditionalFormatting>
  <conditionalFormatting sqref="S77:AS77">
    <cfRule type="containsBlanks" dxfId="403" priority="97">
      <formula>LEN(TRIM(S77))=0</formula>
    </cfRule>
    <cfRule type="containsBlanks" dxfId="402" priority="98">
      <formula>LEN(TRIM(S77))=0</formula>
    </cfRule>
  </conditionalFormatting>
  <conditionalFormatting sqref="S77:AS77">
    <cfRule type="containsBlanks" dxfId="401" priority="96">
      <formula>LEN(TRIM(S77))=0</formula>
    </cfRule>
  </conditionalFormatting>
  <conditionalFormatting sqref="AK78:AP78">
    <cfRule type="containsBlanks" dxfId="400" priority="94">
      <formula>LEN(TRIM(AK78))=0</formula>
    </cfRule>
    <cfRule type="containsBlanks" dxfId="399" priority="95">
      <formula>LEN(TRIM(AK78))=0</formula>
    </cfRule>
  </conditionalFormatting>
  <conditionalFormatting sqref="AK78:AP78">
    <cfRule type="containsBlanks" dxfId="398" priority="93">
      <formula>LEN(TRIM(AK78))=0</formula>
    </cfRule>
  </conditionalFormatting>
  <conditionalFormatting sqref="AV77 AY77 BB77">
    <cfRule type="containsBlanks" dxfId="397" priority="92">
      <formula>LEN(TRIM(AV77))=0</formula>
    </cfRule>
  </conditionalFormatting>
  <conditionalFormatting sqref="AV77 AY77 BB77">
    <cfRule type="containsBlanks" dxfId="396" priority="90">
      <formula>LEN(TRIM(AV77))=0</formula>
    </cfRule>
    <cfRule type="containsBlanks" dxfId="395" priority="91">
      <formula>LEN(TRIM(AV77))=0</formula>
    </cfRule>
  </conditionalFormatting>
  <conditionalFormatting sqref="AT77 AW77 AZ77">
    <cfRule type="cellIs" dxfId="394" priority="89" operator="lessThan">
      <formula>0.05</formula>
    </cfRule>
  </conditionalFormatting>
  <conditionalFormatting sqref="AU77 AX77 BA77">
    <cfRule type="cellIs" dxfId="393" priority="88" operator="lessThan">
      <formula>0.05</formula>
    </cfRule>
  </conditionalFormatting>
  <conditionalFormatting sqref="AP113">
    <cfRule type="containsBlanks" dxfId="392" priority="82">
      <formula>LEN(TRIM(AP113))=0</formula>
    </cfRule>
  </conditionalFormatting>
  <conditionalFormatting sqref="AP113">
    <cfRule type="containsBlanks" dxfId="391" priority="80">
      <formula>LEN(TRIM(AP113))=0</formula>
    </cfRule>
    <cfRule type="containsBlanks" dxfId="390" priority="81">
      <formula>LEN(TRIM(AP113))=0</formula>
    </cfRule>
  </conditionalFormatting>
  <conditionalFormatting sqref="AO113">
    <cfRule type="cellIs" dxfId="389" priority="79" operator="lessThan">
      <formula>0.05</formula>
    </cfRule>
  </conditionalFormatting>
  <conditionalFormatting sqref="AN113">
    <cfRule type="cellIs" dxfId="388" priority="78" operator="lessThan">
      <formula>0.05</formula>
    </cfRule>
  </conditionalFormatting>
  <conditionalFormatting sqref="AP113">
    <cfRule type="containsBlanks" dxfId="387" priority="77">
      <formula>LEN(TRIM(AP113))=0</formula>
    </cfRule>
  </conditionalFormatting>
  <conditionalFormatting sqref="AP113">
    <cfRule type="containsBlanks" dxfId="386" priority="75">
      <formula>LEN(TRIM(AP113))=0</formula>
    </cfRule>
    <cfRule type="containsBlanks" dxfId="385" priority="76">
      <formula>LEN(TRIM(AP113))=0</formula>
    </cfRule>
  </conditionalFormatting>
  <conditionalFormatting sqref="AN113">
    <cfRule type="cellIs" dxfId="384" priority="74" operator="lessThan">
      <formula>0.05</formula>
    </cfRule>
  </conditionalFormatting>
  <conditionalFormatting sqref="AO113">
    <cfRule type="cellIs" dxfId="383" priority="73" operator="lessThan">
      <formula>0.05</formula>
    </cfRule>
  </conditionalFormatting>
  <conditionalFormatting sqref="AS78">
    <cfRule type="containsBlanks" dxfId="382" priority="72">
      <formula>LEN(TRIM(AS78))=0</formula>
    </cfRule>
  </conditionalFormatting>
  <conditionalFormatting sqref="AS78">
    <cfRule type="containsBlanks" dxfId="381" priority="70">
      <formula>LEN(TRIM(AS78))=0</formula>
    </cfRule>
    <cfRule type="containsBlanks" dxfId="380" priority="71">
      <formula>LEN(TRIM(AS78))=0</formula>
    </cfRule>
  </conditionalFormatting>
  <conditionalFormatting sqref="AQ78">
    <cfRule type="cellIs" dxfId="379" priority="69" operator="lessThan">
      <formula>0.05</formula>
    </cfRule>
  </conditionalFormatting>
  <conditionalFormatting sqref="AR78">
    <cfRule type="cellIs" dxfId="378" priority="68" operator="lessThan">
      <formula>0.05</formula>
    </cfRule>
  </conditionalFormatting>
  <conditionalFormatting sqref="AQ78">
    <cfRule type="cellIs" dxfId="377" priority="64" operator="lessThan">
      <formula>0.05</formula>
    </cfRule>
  </conditionalFormatting>
  <conditionalFormatting sqref="AR78">
    <cfRule type="cellIs" dxfId="376" priority="63" operator="lessThan">
      <formula>0.05</formula>
    </cfRule>
  </conditionalFormatting>
  <conditionalFormatting sqref="AS78">
    <cfRule type="containsBlanks" dxfId="375" priority="67">
      <formula>LEN(TRIM(AS78))=0</formula>
    </cfRule>
  </conditionalFormatting>
  <conditionalFormatting sqref="AS78">
    <cfRule type="containsBlanks" dxfId="374" priority="65">
      <formula>LEN(TRIM(AS78))=0</formula>
    </cfRule>
    <cfRule type="containsBlanks" dxfId="373" priority="66">
      <formula>LEN(TRIM(AS78))=0</formula>
    </cfRule>
  </conditionalFormatting>
  <conditionalFormatting sqref="O53">
    <cfRule type="containsBlanks" dxfId="372" priority="60">
      <formula>LEN(TRIM(O53))=0</formula>
    </cfRule>
  </conditionalFormatting>
  <conditionalFormatting sqref="AN115:AP115">
    <cfRule type="containsBlanks" dxfId="371" priority="59">
      <formula>LEN(TRIM(AN115))=0</formula>
    </cfRule>
  </conditionalFormatting>
  <conditionalFormatting sqref="AN115:AP115">
    <cfRule type="containsBlanks" dxfId="370" priority="57">
      <formula>LEN(TRIM(AN115))=0</formula>
    </cfRule>
    <cfRule type="containsBlanks" dxfId="369" priority="58">
      <formula>LEN(TRIM(AN115))=0</formula>
    </cfRule>
  </conditionalFormatting>
  <conditionalFormatting sqref="AP115">
    <cfRule type="containsBlanks" dxfId="368" priority="56">
      <formula>LEN(TRIM(AP115))=0</formula>
    </cfRule>
  </conditionalFormatting>
  <conditionalFormatting sqref="AP115">
    <cfRule type="containsBlanks" dxfId="367" priority="54">
      <formula>LEN(TRIM(AP115))=0</formula>
    </cfRule>
    <cfRule type="containsBlanks" dxfId="366" priority="55">
      <formula>LEN(TRIM(AP115))=0</formula>
    </cfRule>
  </conditionalFormatting>
  <conditionalFormatting sqref="AO115">
    <cfRule type="cellIs" dxfId="365" priority="53" operator="lessThan">
      <formula>0.05</formula>
    </cfRule>
  </conditionalFormatting>
  <conditionalFormatting sqref="AN115">
    <cfRule type="cellIs" dxfId="364" priority="52" operator="lessThan">
      <formula>0.05</formula>
    </cfRule>
  </conditionalFormatting>
  <conditionalFormatting sqref="AP115">
    <cfRule type="containsBlanks" dxfId="363" priority="51">
      <formula>LEN(TRIM(AP115))=0</formula>
    </cfRule>
  </conditionalFormatting>
  <conditionalFormatting sqref="AP115">
    <cfRule type="containsBlanks" dxfId="362" priority="49">
      <formula>LEN(TRIM(AP115))=0</formula>
    </cfRule>
    <cfRule type="containsBlanks" dxfId="361" priority="50">
      <formula>LEN(TRIM(AP115))=0</formula>
    </cfRule>
  </conditionalFormatting>
  <conditionalFormatting sqref="AN115">
    <cfRule type="cellIs" dxfId="360" priority="48" operator="lessThan">
      <formula>0.05</formula>
    </cfRule>
  </conditionalFormatting>
  <conditionalFormatting sqref="AO115">
    <cfRule type="cellIs" dxfId="359" priority="47" operator="lessThan">
      <formula>0.05</formula>
    </cfRule>
  </conditionalFormatting>
  <conditionalFormatting sqref="AQ71:AS71">
    <cfRule type="containsBlanks" dxfId="358" priority="45">
      <formula>LEN(TRIM(AQ71))=0</formula>
    </cfRule>
    <cfRule type="containsBlanks" dxfId="357" priority="46">
      <formula>LEN(TRIM(AQ71))=0</formula>
    </cfRule>
  </conditionalFormatting>
  <conditionalFormatting sqref="AQ71:AS71">
    <cfRule type="containsBlanks" dxfId="356" priority="44">
      <formula>LEN(TRIM(AQ71))=0</formula>
    </cfRule>
  </conditionalFormatting>
  <conditionalFormatting sqref="L20:L21">
    <cfRule type="containsBlanks" dxfId="355" priority="43">
      <formula>LEN(TRIM(L20))=0</formula>
    </cfRule>
  </conditionalFormatting>
  <conditionalFormatting sqref="O21:P21">
    <cfRule type="containsBlanks" dxfId="354" priority="42">
      <formula>LEN(TRIM(O21))=0</formula>
    </cfRule>
  </conditionalFormatting>
  <conditionalFormatting sqref="L40">
    <cfRule type="containsBlanks" dxfId="353" priority="41">
      <formula>LEN(TRIM(L40))=0</formula>
    </cfRule>
  </conditionalFormatting>
  <conditionalFormatting sqref="N40">
    <cfRule type="containsBlanks" dxfId="352" priority="40">
      <formula>LEN(TRIM(N40))=0</formula>
    </cfRule>
  </conditionalFormatting>
  <conditionalFormatting sqref="L46">
    <cfRule type="containsBlanks" dxfId="351" priority="39">
      <formula>LEN(TRIM(L46))=0</formula>
    </cfRule>
  </conditionalFormatting>
  <conditionalFormatting sqref="N46">
    <cfRule type="containsBlanks" dxfId="350" priority="37">
      <formula>LEN(TRIM(N46))=0</formula>
    </cfRule>
  </conditionalFormatting>
  <conditionalFormatting sqref="Q46">
    <cfRule type="containsBlanks" dxfId="349" priority="36">
      <formula>LEN(TRIM(Q46))=0</formula>
    </cfRule>
  </conditionalFormatting>
  <conditionalFormatting sqref="L58">
    <cfRule type="containsBlanks" dxfId="348" priority="35">
      <formula>LEN(TRIM(L58))=0</formula>
    </cfRule>
  </conditionalFormatting>
  <conditionalFormatting sqref="N58">
    <cfRule type="containsBlanks" dxfId="347" priority="34">
      <formula>LEN(TRIM(N58))=0</formula>
    </cfRule>
  </conditionalFormatting>
  <conditionalFormatting sqref="L26">
    <cfRule type="containsBlanks" dxfId="346" priority="33">
      <formula>LEN(TRIM(L26))=0</formula>
    </cfRule>
  </conditionalFormatting>
  <conditionalFormatting sqref="L15">
    <cfRule type="containsBlanks" dxfId="345" priority="32">
      <formula>LEN(TRIM(L15))=0</formula>
    </cfRule>
  </conditionalFormatting>
  <conditionalFormatting sqref="N15">
    <cfRule type="containsBlanks" dxfId="344" priority="31">
      <formula>LEN(TRIM(N15))=0</formula>
    </cfRule>
  </conditionalFormatting>
  <conditionalFormatting sqref="L54">
    <cfRule type="containsBlanks" dxfId="343" priority="30">
      <formula>LEN(TRIM(L54))=0</formula>
    </cfRule>
  </conditionalFormatting>
  <conditionalFormatting sqref="AT54 AW54 AZ54">
    <cfRule type="cellIs" dxfId="342" priority="29" operator="lessThan">
      <formula>0.05</formula>
    </cfRule>
  </conditionalFormatting>
  <conditionalFormatting sqref="AU54:AV54 AX54:AY54 BA54:BB54">
    <cfRule type="cellIs" dxfId="341" priority="28" operator="lessThan">
      <formula>0.05</formula>
    </cfRule>
  </conditionalFormatting>
  <conditionalFormatting sqref="Q69">
    <cfRule type="containsBlanks" dxfId="340" priority="27">
      <formula>LEN(TRIM(Q69))=0</formula>
    </cfRule>
  </conditionalFormatting>
  <conditionalFormatting sqref="S69:AS69">
    <cfRule type="containsBlanks" dxfId="339" priority="25">
      <formula>LEN(TRIM(S69))=0</formula>
    </cfRule>
    <cfRule type="containsBlanks" dxfId="338" priority="26">
      <formula>LEN(TRIM(S69))=0</formula>
    </cfRule>
  </conditionalFormatting>
  <conditionalFormatting sqref="S69:AS69">
    <cfRule type="containsBlanks" dxfId="337" priority="24">
      <formula>LEN(TRIM(S69))=0</formula>
    </cfRule>
  </conditionalFormatting>
  <conditionalFormatting sqref="AT69 AW69 AZ69">
    <cfRule type="cellIs" dxfId="336" priority="20" operator="lessThan">
      <formula>0.05</formula>
    </cfRule>
  </conditionalFormatting>
  <conditionalFormatting sqref="AV69 AY69 BB69">
    <cfRule type="containsBlanks" dxfId="335" priority="23">
      <formula>LEN(TRIM(AV69))=0</formula>
    </cfRule>
  </conditionalFormatting>
  <conditionalFormatting sqref="AV69 AY69 BB69">
    <cfRule type="containsBlanks" dxfId="334" priority="21">
      <formula>LEN(TRIM(AV69))=0</formula>
    </cfRule>
    <cfRule type="containsBlanks" dxfId="333" priority="22">
      <formula>LEN(TRIM(AV69))=0</formula>
    </cfRule>
  </conditionalFormatting>
  <conditionalFormatting sqref="AU69 AX69 BA69">
    <cfRule type="cellIs" dxfId="332" priority="19" operator="lessThan">
      <formula>0.05</formula>
    </cfRule>
  </conditionalFormatting>
  <conditionalFormatting sqref="AW34:BB34">
    <cfRule type="cellIs" dxfId="331" priority="18" operator="lessThan">
      <formula>0.05</formula>
    </cfRule>
  </conditionalFormatting>
  <conditionalFormatting sqref="AW34:BB34">
    <cfRule type="containsBlanks" dxfId="330" priority="16">
      <formula>LEN(TRIM(AW34))=0</formula>
    </cfRule>
    <cfRule type="containsBlanks" dxfId="329" priority="17">
      <formula>LEN(TRIM(AW34))=0</formula>
    </cfRule>
  </conditionalFormatting>
  <conditionalFormatting sqref="AW34:BB34">
    <cfRule type="containsBlanks" dxfId="328" priority="15">
      <formula>LEN(TRIM(AW34))=0</formula>
    </cfRule>
  </conditionalFormatting>
  <conditionalFormatting sqref="AW34 AZ34">
    <cfRule type="containsBlanks" dxfId="327" priority="14">
      <formula>LEN(TRIM(AW34))=0</formula>
    </cfRule>
  </conditionalFormatting>
  <conditionalFormatting sqref="AW33:BB33">
    <cfRule type="cellIs" dxfId="326" priority="13" operator="lessThan">
      <formula>0.05</formula>
    </cfRule>
  </conditionalFormatting>
  <conditionalFormatting sqref="S34:AV34">
    <cfRule type="cellIs" dxfId="325" priority="6" operator="lessThan">
      <formula>0.05</formula>
    </cfRule>
  </conditionalFormatting>
  <conditionalFormatting sqref="S34:AV34">
    <cfRule type="containsBlanks" dxfId="324" priority="4">
      <formula>LEN(TRIM(S34))=0</formula>
    </cfRule>
    <cfRule type="containsBlanks" dxfId="323" priority="5">
      <formula>LEN(TRIM(S34))=0</formula>
    </cfRule>
  </conditionalFormatting>
  <conditionalFormatting sqref="S34:AV34">
    <cfRule type="containsBlanks" dxfId="322" priority="3">
      <formula>LEN(TRIM(S34))=0</formula>
    </cfRule>
  </conditionalFormatting>
  <conditionalFormatting sqref="AT34 S34 V34 Y34 AB34 AE34 AH34 AK34 AN34 AQ34">
    <cfRule type="containsBlanks" dxfId="321" priority="2">
      <formula>LEN(TRIM(S34))=0</formula>
    </cfRule>
  </conditionalFormatting>
  <conditionalFormatting sqref="S33:AV33">
    <cfRule type="cellIs" dxfId="320" priority="1" operator="lessThan">
      <formula>0.05</formula>
    </cfRule>
  </conditionalFormatting>
  <pageMargins left="0.23622047244094491" right="0.23622047244094491" top="0.74803149606299213" bottom="0.74803149606299213" header="0.31496062992125984" footer="0.31496062992125984"/>
  <pageSetup paperSize="9" scale="65" orientation="landscape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H54"/>
  <sheetViews>
    <sheetView zoomScaleNormal="100" workbookViewId="0">
      <pane xSplit="2" ySplit="1" topLeftCell="R26" activePane="bottomRight" state="frozen"/>
      <selection pane="topRight" activeCell="C1" sqref="C1"/>
      <selection pane="bottomLeft" activeCell="A2" sqref="A2"/>
      <selection pane="bottomRight" activeCell="AV50" sqref="AV50:AV51"/>
    </sheetView>
  </sheetViews>
  <sheetFormatPr defaultRowHeight="14.4" x14ac:dyDescent="0.3"/>
  <cols>
    <col min="1" max="1" width="34" customWidth="1"/>
    <col min="2" max="2" width="11.5546875" customWidth="1"/>
    <col min="3" max="3" width="46.109375" customWidth="1"/>
    <col min="4" max="4" width="8.33203125" style="169" customWidth="1"/>
    <col min="5" max="5" width="40.88671875" bestFit="1" customWidth="1"/>
    <col min="6" max="6" width="11.5546875" style="169" bestFit="1" customWidth="1"/>
    <col min="7" max="10" width="10.33203125" customWidth="1"/>
    <col min="11" max="11" width="21.33203125" customWidth="1"/>
    <col min="12" max="13" width="10.109375" bestFit="1" customWidth="1"/>
    <col min="14" max="14" width="7.33203125" customWidth="1"/>
    <col min="15" max="15" width="6.44140625" customWidth="1"/>
    <col min="16" max="17" width="7.44140625" customWidth="1"/>
    <col min="18" max="18" width="11.5546875" customWidth="1"/>
    <col min="19" max="54" width="8.5546875" customWidth="1"/>
    <col min="55" max="55" width="9.88671875" bestFit="1" customWidth="1"/>
    <col min="56" max="56" width="12.33203125" customWidth="1"/>
    <col min="57" max="57" width="9.6640625" bestFit="1" customWidth="1"/>
    <col min="58" max="58" width="9.6640625" customWidth="1"/>
    <col min="59" max="59" width="14.5546875" bestFit="1" customWidth="1"/>
    <col min="60" max="60" width="9.5546875" bestFit="1" customWidth="1"/>
  </cols>
  <sheetData>
    <row r="1" spans="1:60" ht="15" customHeight="1" thickBot="1" x14ac:dyDescent="0.4">
      <c r="A1" s="346" t="s">
        <v>25</v>
      </c>
      <c r="C1" s="347"/>
      <c r="S1" s="565">
        <v>44927</v>
      </c>
      <c r="T1" s="566"/>
      <c r="U1" s="567"/>
      <c r="V1" s="542">
        <v>44958</v>
      </c>
      <c r="W1" s="543"/>
      <c r="X1" s="544"/>
      <c r="Y1" s="565">
        <v>44986</v>
      </c>
      <c r="Z1" s="566"/>
      <c r="AA1" s="567"/>
      <c r="AB1" s="542">
        <v>45017</v>
      </c>
      <c r="AC1" s="543"/>
      <c r="AD1" s="544"/>
      <c r="AE1" s="565">
        <v>45047</v>
      </c>
      <c r="AF1" s="566"/>
      <c r="AG1" s="567"/>
      <c r="AH1" s="542">
        <v>45078</v>
      </c>
      <c r="AI1" s="543"/>
      <c r="AJ1" s="544"/>
      <c r="AK1" s="565">
        <v>45108</v>
      </c>
      <c r="AL1" s="566"/>
      <c r="AM1" s="567"/>
      <c r="AN1" s="542">
        <v>45139</v>
      </c>
      <c r="AO1" s="543"/>
      <c r="AP1" s="544"/>
      <c r="AQ1" s="565">
        <v>45170</v>
      </c>
      <c r="AR1" s="566"/>
      <c r="AS1" s="567"/>
      <c r="AT1" s="542">
        <v>45200</v>
      </c>
      <c r="AU1" s="543"/>
      <c r="AV1" s="544"/>
      <c r="AW1" s="565">
        <v>45231</v>
      </c>
      <c r="AX1" s="566"/>
      <c r="AY1" s="567"/>
      <c r="AZ1" s="542">
        <v>45261</v>
      </c>
      <c r="BA1" s="543"/>
      <c r="BB1" s="544"/>
      <c r="BD1" s="100" t="s">
        <v>44</v>
      </c>
      <c r="BE1" s="101" t="s">
        <v>45</v>
      </c>
      <c r="BF1" s="290" t="s">
        <v>110</v>
      </c>
      <c r="BG1" s="102" t="s">
        <v>46</v>
      </c>
      <c r="BH1" s="270" t="s">
        <v>125</v>
      </c>
    </row>
    <row r="2" spans="1:60" ht="15" customHeight="1" x14ac:dyDescent="0.3">
      <c r="A2" s="292" t="s">
        <v>7</v>
      </c>
      <c r="B2" s="296">
        <v>5102</v>
      </c>
      <c r="C2" s="299" t="s">
        <v>111</v>
      </c>
      <c r="R2" s="38" t="s">
        <v>7</v>
      </c>
      <c r="S2" s="90">
        <f t="shared" ref="S2:T5" si="0">SUMIF($R$15:$R$126,$R2,S$15:S$126)</f>
        <v>0.35</v>
      </c>
      <c r="T2" s="91">
        <f t="shared" si="0"/>
        <v>61.16</v>
      </c>
      <c r="U2" s="40">
        <f>SUMIF($R$11:$R$126,$R2,U$11:U$126)</f>
        <v>17878.166666666664</v>
      </c>
      <c r="V2" s="92">
        <f t="shared" ref="V2:W5" si="1">SUMIF($R$15:$R$126,$R2,V$15:V$126)</f>
        <v>0.35</v>
      </c>
      <c r="W2" s="93">
        <f t="shared" si="1"/>
        <v>55.6</v>
      </c>
      <c r="X2" s="43">
        <f>SUMIF($R$11:$R$126,$R2,X$11:X$126)</f>
        <v>20531.166666666664</v>
      </c>
      <c r="Y2" s="90">
        <f t="shared" ref="Y2:Z5" si="2">SUMIF($R$15:$R$126,$R2,Y$15:Y$126)</f>
        <v>0.35</v>
      </c>
      <c r="Z2" s="91">
        <f t="shared" si="2"/>
        <v>63.940000000000012</v>
      </c>
      <c r="AA2" s="40">
        <f>SUMIF($R$11:$R$126,$R2,AA$11:AA$126)</f>
        <v>20531.166666666664</v>
      </c>
      <c r="AB2" s="92">
        <f t="shared" ref="AB2:AC5" si="3">SUMIF($R$15:$R$126,$R2,AB$15:AB$126)</f>
        <v>0.35</v>
      </c>
      <c r="AC2" s="93">
        <f t="shared" si="3"/>
        <v>55.6</v>
      </c>
      <c r="AD2" s="43">
        <f>SUMIF($R$11:$R$126,$R2,AD$11:AD$126)</f>
        <v>20531.166666666664</v>
      </c>
      <c r="AE2" s="90">
        <f t="shared" ref="AE2:AF5" si="4">SUMIF($R$15:$R$126,$R2,AE$15:AE$126)</f>
        <v>0.35</v>
      </c>
      <c r="AF2" s="91">
        <f t="shared" si="4"/>
        <v>63.940000000000012</v>
      </c>
      <c r="AG2" s="40">
        <f>SUMIF($R$11:$R$126,$R2,AG$11:AG$126)</f>
        <v>20531.166666666664</v>
      </c>
      <c r="AH2" s="92">
        <f t="shared" ref="AH2:AI5" si="5">SUMIF($R$15:$R$126,$R2,AH$15:AH$126)</f>
        <v>0.35</v>
      </c>
      <c r="AI2" s="93">
        <f t="shared" si="5"/>
        <v>61.16</v>
      </c>
      <c r="AJ2" s="43">
        <f>SUMIF($R$11:$R$126,$R2,AJ$11:AJ$126)</f>
        <v>20531.166666666664</v>
      </c>
      <c r="AK2" s="90">
        <f t="shared" ref="AK2:AL5" si="6">SUMIF($R$15:$R$126,$R2,AK$15:AK$126)</f>
        <v>0.35</v>
      </c>
      <c r="AL2" s="91">
        <f t="shared" si="6"/>
        <v>58.379999999999995</v>
      </c>
      <c r="AM2" s="40">
        <f>SUMIF($R$11:$R$126,$R2,AM$11:AM$126)</f>
        <v>20531.166666666664</v>
      </c>
      <c r="AN2" s="92">
        <f t="shared" ref="AN2:AO5" si="7">SUMIF($R$15:$R$126,$R2,AN$15:AN$126)</f>
        <v>0.35</v>
      </c>
      <c r="AO2" s="93">
        <f t="shared" si="7"/>
        <v>63.940000000000012</v>
      </c>
      <c r="AP2" s="43">
        <f>SUMIF($R$11:$R$126,$R2,AP$11:AP$126)</f>
        <v>20531.166666666664</v>
      </c>
      <c r="AQ2" s="90">
        <f t="shared" ref="AQ2:AR5" si="8">SUMIF($R$15:$R$126,$R2,AQ$15:AQ$126)</f>
        <v>0.35</v>
      </c>
      <c r="AR2" s="91">
        <f t="shared" si="8"/>
        <v>58.379999999999995</v>
      </c>
      <c r="AS2" s="40">
        <f>SUMIF($R$11:$R$126,$R2,AS$11:AS$126)</f>
        <v>20531.166666666664</v>
      </c>
      <c r="AT2" s="92">
        <f t="shared" ref="AT2:AU5" si="9">SUMIF($R$15:$R$126,$R2,AT$15:AT$126)</f>
        <v>0.35</v>
      </c>
      <c r="AU2" s="93">
        <f t="shared" si="9"/>
        <v>61.16</v>
      </c>
      <c r="AV2" s="43">
        <f>SUMIF($R$11:$R$126,$R2,AV$11:AV$126)</f>
        <v>20531.166666666664</v>
      </c>
      <c r="AW2" s="90">
        <f t="shared" ref="AW2:AX5" si="10">SUMIF($R$15:$R$126,$R2,AW$15:AW$126)</f>
        <v>0.35</v>
      </c>
      <c r="AX2" s="91">
        <f t="shared" si="10"/>
        <v>61.16</v>
      </c>
      <c r="AY2" s="40">
        <f>SUMIF($R$11:$R$126,$R2,AY$11:AY$126)</f>
        <v>17878.166666666664</v>
      </c>
      <c r="AZ2" s="92">
        <f t="shared" ref="AZ2:BA5" si="11">SUMIF($R$15:$R$126,$R2,AZ$15:AZ$126)</f>
        <v>0.35</v>
      </c>
      <c r="BA2" s="93">
        <f t="shared" si="11"/>
        <v>58.379999999999995</v>
      </c>
      <c r="BB2" s="43">
        <f>SUMIF($R$11:$R$126,$R2,BB$11:BB$126)</f>
        <v>17878.166666666664</v>
      </c>
      <c r="BD2" s="286">
        <f>SUM(U2,X2,AA2,AD2,AG2,AJ2,AM2,AP2,AS2,AV2,AY2,BB2)</f>
        <v>238414.99999999991</v>
      </c>
      <c r="BE2" s="287">
        <f>0.338*(SUMIFS(BC:BC,F:F,"HPP",R:R, BH2)+SUMIFS(BC:BC,F:F,"DPČ",R:R, BH2))</f>
        <v>80584.27</v>
      </c>
      <c r="BF2" s="287">
        <f>0.02*SUMIFS(BC:BC,F:F,"HPP",R:R, BH2)</f>
        <v>4768.3</v>
      </c>
      <c r="BG2" s="288">
        <f>SUM(BD2:BF2)</f>
        <v>323767.56999999989</v>
      </c>
      <c r="BH2" s="62" t="s">
        <v>7</v>
      </c>
    </row>
    <row r="3" spans="1:60" ht="15" customHeight="1" x14ac:dyDescent="0.3">
      <c r="A3" s="293" t="s">
        <v>6</v>
      </c>
      <c r="B3" s="297">
        <v>5106</v>
      </c>
      <c r="C3" s="300" t="s">
        <v>112</v>
      </c>
      <c r="R3" s="39" t="s">
        <v>6</v>
      </c>
      <c r="S3" s="88">
        <f t="shared" si="0"/>
        <v>3503.1</v>
      </c>
      <c r="T3" s="60">
        <f t="shared" si="0"/>
        <v>617.24</v>
      </c>
      <c r="U3" s="41">
        <f>SUMIF($R$15:$R$126,$R3,U$15:U$126)</f>
        <v>182365.45</v>
      </c>
      <c r="V3" s="94">
        <f t="shared" si="1"/>
        <v>3502.6</v>
      </c>
      <c r="W3" s="61">
        <f t="shared" si="1"/>
        <v>488.4</v>
      </c>
      <c r="X3" s="44">
        <f>SUMIF($R$15:$R$126,$R3,X$15:X$126)</f>
        <v>179712.45</v>
      </c>
      <c r="Y3" s="88">
        <f t="shared" si="2"/>
        <v>3502.6</v>
      </c>
      <c r="Z3" s="60">
        <f t="shared" si="2"/>
        <v>549.66</v>
      </c>
      <c r="AA3" s="41">
        <f>SUMIF($R$15:$R$126,$R3,AA$15:AA$126)</f>
        <v>179712.45</v>
      </c>
      <c r="AB3" s="94">
        <f t="shared" si="3"/>
        <v>2002.6</v>
      </c>
      <c r="AC3" s="61">
        <f t="shared" si="3"/>
        <v>448.4</v>
      </c>
      <c r="AD3" s="44">
        <f>SUMIF($R$15:$R$126,$R3,AD$15:AD$126)</f>
        <v>159712.45000000001</v>
      </c>
      <c r="AE3" s="88">
        <f t="shared" si="4"/>
        <v>2002.6</v>
      </c>
      <c r="AF3" s="60">
        <f t="shared" si="4"/>
        <v>509.65999999999997</v>
      </c>
      <c r="AG3" s="41">
        <f>SUMIF($R$15:$R$126,$R3,AG$15:AG$126)</f>
        <v>159712.45000000001</v>
      </c>
      <c r="AH3" s="94">
        <f t="shared" si="5"/>
        <v>2002.6</v>
      </c>
      <c r="AI3" s="61">
        <f t="shared" si="5"/>
        <v>489.23999999999995</v>
      </c>
      <c r="AJ3" s="44">
        <f>SUMIF($R$15:$R$126,$R3,AJ$15:AJ$126)</f>
        <v>159712.45000000001</v>
      </c>
      <c r="AK3" s="88">
        <f t="shared" si="6"/>
        <v>2002.6</v>
      </c>
      <c r="AL3" s="60">
        <f t="shared" si="6"/>
        <v>468.82000000000005</v>
      </c>
      <c r="AM3" s="41">
        <f>SUMIF($R$15:$R$126,$R3,AM$15:AM$126)</f>
        <v>159712.45000000001</v>
      </c>
      <c r="AN3" s="94">
        <f t="shared" si="7"/>
        <v>2002.6</v>
      </c>
      <c r="AO3" s="61">
        <f t="shared" si="7"/>
        <v>509.65999999999997</v>
      </c>
      <c r="AP3" s="44">
        <f>SUMIF($R$15:$R$126,$R3,AP$15:AP$126)</f>
        <v>159712.45000000001</v>
      </c>
      <c r="AQ3" s="88">
        <f t="shared" si="8"/>
        <v>2002.6</v>
      </c>
      <c r="AR3" s="60">
        <f t="shared" si="8"/>
        <v>468.82000000000005</v>
      </c>
      <c r="AS3" s="41">
        <f>SUMIF($R$15:$R$126,$R3,AS$15:AS$126)</f>
        <v>159712.45000000001</v>
      </c>
      <c r="AT3" s="94">
        <f t="shared" si="9"/>
        <v>2002.6</v>
      </c>
      <c r="AU3" s="61">
        <f t="shared" si="9"/>
        <v>489.23999999999995</v>
      </c>
      <c r="AV3" s="44">
        <f>SUMIF($R$15:$R$126,$R3,AV$15:AV$126)</f>
        <v>159712.45000000001</v>
      </c>
      <c r="AW3" s="88">
        <f t="shared" si="10"/>
        <v>3.0999999999999996</v>
      </c>
      <c r="AX3" s="60">
        <f t="shared" si="10"/>
        <v>0</v>
      </c>
      <c r="AY3" s="41">
        <f>SUMIF($R$15:$R$126,$R3,AY$15:AY$126)</f>
        <v>0</v>
      </c>
      <c r="AZ3" s="94">
        <f t="shared" si="11"/>
        <v>3.0999999999999996</v>
      </c>
      <c r="BA3" s="61">
        <f t="shared" si="11"/>
        <v>0</v>
      </c>
      <c r="BB3" s="44">
        <f>SUMIF($R$15:$R$126,$R3,BB$15:BB$126)</f>
        <v>0</v>
      </c>
      <c r="BD3" s="286">
        <f t="shared" ref="BD3:BD5" si="12">SUM(U3,X3,AA3,AD3,AG3,AJ3,AM3,AP3,AS3,AV3,AY3,BB3)</f>
        <v>1659777.4999999998</v>
      </c>
      <c r="BE3" s="287">
        <f>0.338*(SUMIFS(BC:BC,F:F,"HPP",R:R, BH3)+SUMIFS(BC:BC,F:F,"DPČ",R:R, BH3))</f>
        <v>473124.79500000004</v>
      </c>
      <c r="BF3" s="287">
        <f>0.02*SUMIFS(BC:BC,F:F,"HPP",R:R, BH3)</f>
        <v>27995.55</v>
      </c>
      <c r="BG3" s="288">
        <f t="shared" ref="BG3:BG5" si="13">SUM(BD3:BF3)</f>
        <v>2160897.8449999997</v>
      </c>
      <c r="BH3" s="63" t="s">
        <v>6</v>
      </c>
    </row>
    <row r="4" spans="1:60" ht="15" customHeight="1" x14ac:dyDescent="0.3">
      <c r="A4" s="293" t="s">
        <v>8</v>
      </c>
      <c r="B4" s="297">
        <v>5107</v>
      </c>
      <c r="C4" s="300" t="s">
        <v>114</v>
      </c>
      <c r="R4" s="39" t="s">
        <v>8</v>
      </c>
      <c r="S4" s="88">
        <f t="shared" si="0"/>
        <v>500</v>
      </c>
      <c r="T4" s="60">
        <f t="shared" si="0"/>
        <v>35</v>
      </c>
      <c r="U4" s="41">
        <f>SUMIF($R$15:$R$126,$R4,U$15:U$126)</f>
        <v>17500</v>
      </c>
      <c r="V4" s="94">
        <f t="shared" si="1"/>
        <v>500</v>
      </c>
      <c r="W4" s="61">
        <f t="shared" si="1"/>
        <v>35</v>
      </c>
      <c r="X4" s="44">
        <f>SUMIF($R$15:$R$126,$R4,X$15:X$126)</f>
        <v>17500</v>
      </c>
      <c r="Y4" s="88">
        <f t="shared" si="2"/>
        <v>500</v>
      </c>
      <c r="Z4" s="60">
        <f t="shared" si="2"/>
        <v>35</v>
      </c>
      <c r="AA4" s="41">
        <f>SUMIF($R$15:$R$126,$R4,AA$15:AA$126)</f>
        <v>17500</v>
      </c>
      <c r="AB4" s="94">
        <f t="shared" si="3"/>
        <v>500</v>
      </c>
      <c r="AC4" s="61">
        <f t="shared" si="3"/>
        <v>35</v>
      </c>
      <c r="AD4" s="44">
        <f>SUMIF($R$15:$R$126,$R4,AD$15:AD$126)</f>
        <v>17500</v>
      </c>
      <c r="AE4" s="88">
        <f t="shared" si="4"/>
        <v>500</v>
      </c>
      <c r="AF4" s="60">
        <f t="shared" si="4"/>
        <v>35</v>
      </c>
      <c r="AG4" s="41">
        <f>SUMIF($R$15:$R$126,$R4,AG$15:AG$126)</f>
        <v>17500</v>
      </c>
      <c r="AH4" s="94">
        <f t="shared" si="5"/>
        <v>500</v>
      </c>
      <c r="AI4" s="61">
        <f t="shared" si="5"/>
        <v>35</v>
      </c>
      <c r="AJ4" s="44">
        <f>SUMIF($R$15:$R$126,$R4,AJ$15:AJ$126)</f>
        <v>17500</v>
      </c>
      <c r="AK4" s="88">
        <f t="shared" si="6"/>
        <v>500</v>
      </c>
      <c r="AL4" s="60">
        <f t="shared" si="6"/>
        <v>35</v>
      </c>
      <c r="AM4" s="41">
        <f>SUMIF($R$15:$R$126,$R4,AM$15:AM$126)</f>
        <v>17500</v>
      </c>
      <c r="AN4" s="94">
        <f t="shared" si="7"/>
        <v>500</v>
      </c>
      <c r="AO4" s="61">
        <f t="shared" si="7"/>
        <v>35</v>
      </c>
      <c r="AP4" s="44">
        <f>SUMIF($R$15:$R$126,$R4,AP$15:AP$126)</f>
        <v>17500</v>
      </c>
      <c r="AQ4" s="88">
        <f t="shared" si="8"/>
        <v>500</v>
      </c>
      <c r="AR4" s="60">
        <f t="shared" si="8"/>
        <v>35</v>
      </c>
      <c r="AS4" s="41">
        <f>SUMIF($R$15:$R$126,$R4,AS$15:AS$126)</f>
        <v>17500</v>
      </c>
      <c r="AT4" s="94">
        <f t="shared" si="9"/>
        <v>500</v>
      </c>
      <c r="AU4" s="61">
        <f t="shared" si="9"/>
        <v>35</v>
      </c>
      <c r="AV4" s="44">
        <f>SUMIF($R$15:$R$126,$R4,AV$15:AV$126)</f>
        <v>17500</v>
      </c>
      <c r="AW4" s="88">
        <f t="shared" si="10"/>
        <v>500</v>
      </c>
      <c r="AX4" s="60">
        <f t="shared" si="10"/>
        <v>35</v>
      </c>
      <c r="AY4" s="41">
        <f>SUMIF($R$15:$R$126,$R4,AY$15:AY$126)</f>
        <v>17500</v>
      </c>
      <c r="AZ4" s="94">
        <f t="shared" si="11"/>
        <v>500</v>
      </c>
      <c r="BA4" s="61">
        <f t="shared" si="11"/>
        <v>35</v>
      </c>
      <c r="BB4" s="44">
        <f>SUMIF($R$15:$R$126,$R4,BB$15:BB$126)</f>
        <v>17500</v>
      </c>
      <c r="BD4" s="286">
        <f t="shared" si="12"/>
        <v>210000</v>
      </c>
      <c r="BE4" s="287">
        <f>0.338*(SUMIFS(BC:BC,F:F,"HPP",R:R, BH4)+SUMIFS(BC:BC,F:F,"DPČ",R:R, BH4))</f>
        <v>70980</v>
      </c>
      <c r="BF4" s="287">
        <f>0.02*SUMIFS(BC:BC,F:F,"HPP",R:R, BH4)</f>
        <v>0</v>
      </c>
      <c r="BG4" s="288">
        <f t="shared" si="13"/>
        <v>280980</v>
      </c>
      <c r="BH4" s="63" t="s">
        <v>8</v>
      </c>
    </row>
    <row r="5" spans="1:60" ht="15" customHeight="1" x14ac:dyDescent="0.3">
      <c r="A5" s="524" t="s">
        <v>197</v>
      </c>
      <c r="B5" s="524"/>
      <c r="C5" s="300" t="s">
        <v>115</v>
      </c>
      <c r="R5" s="63" t="s">
        <v>197</v>
      </c>
      <c r="S5" s="88">
        <f t="shared" si="0"/>
        <v>1.65</v>
      </c>
      <c r="T5" s="60">
        <f t="shared" si="0"/>
        <v>290.39999999999998</v>
      </c>
      <c r="U5" s="41">
        <f>SUMIF($R$15:$R$126,$R5,U$15:U$126)</f>
        <v>66768.383333333331</v>
      </c>
      <c r="V5" s="94">
        <f t="shared" si="1"/>
        <v>1.65</v>
      </c>
      <c r="W5" s="61">
        <f t="shared" si="1"/>
        <v>264</v>
      </c>
      <c r="X5" s="44">
        <f>SUMIF($R$15:$R$126,$R5,X$15:X$126)</f>
        <v>66768.383333333331</v>
      </c>
      <c r="Y5" s="88">
        <f t="shared" si="2"/>
        <v>1.65</v>
      </c>
      <c r="Z5" s="60">
        <f t="shared" si="2"/>
        <v>303.59999999999997</v>
      </c>
      <c r="AA5" s="41">
        <f>SUMIF($R$15:$R$126,$R5,AA$15:AA$126)</f>
        <v>66768.383333333331</v>
      </c>
      <c r="AB5" s="94">
        <f t="shared" si="3"/>
        <v>1.65</v>
      </c>
      <c r="AC5" s="61">
        <f t="shared" si="3"/>
        <v>264</v>
      </c>
      <c r="AD5" s="44">
        <f>SUMIF($R$15:$R$126,$R5,AD$15:AD$126)</f>
        <v>66768.383333333331</v>
      </c>
      <c r="AE5" s="88">
        <f t="shared" si="4"/>
        <v>1.65</v>
      </c>
      <c r="AF5" s="60">
        <f t="shared" si="4"/>
        <v>303.59999999999997</v>
      </c>
      <c r="AG5" s="41">
        <f>SUMIF($R$15:$R$126,$R5,AG$15:AG$126)</f>
        <v>66768.383333333331</v>
      </c>
      <c r="AH5" s="94">
        <f t="shared" si="5"/>
        <v>1.65</v>
      </c>
      <c r="AI5" s="61">
        <f t="shared" si="5"/>
        <v>290.39999999999998</v>
      </c>
      <c r="AJ5" s="44">
        <f>SUMIF($R$15:$R$126,$R5,AJ$15:AJ$126)</f>
        <v>66768.383333333331</v>
      </c>
      <c r="AK5" s="88">
        <f t="shared" si="6"/>
        <v>1.65</v>
      </c>
      <c r="AL5" s="60">
        <f t="shared" si="6"/>
        <v>277.2</v>
      </c>
      <c r="AM5" s="41">
        <f>SUMIF($R$15:$R$126,$R5,AM$15:AM$126)</f>
        <v>66768.383333333331</v>
      </c>
      <c r="AN5" s="94">
        <f t="shared" si="7"/>
        <v>1.65</v>
      </c>
      <c r="AO5" s="61">
        <f t="shared" si="7"/>
        <v>303.59999999999997</v>
      </c>
      <c r="AP5" s="44">
        <f>SUMIF($R$15:$R$126,$R5,AP$15:AP$126)</f>
        <v>66768.383333333331</v>
      </c>
      <c r="AQ5" s="88">
        <f t="shared" si="8"/>
        <v>1.65</v>
      </c>
      <c r="AR5" s="60">
        <f t="shared" si="8"/>
        <v>277.2</v>
      </c>
      <c r="AS5" s="41">
        <f>SUMIF($R$15:$R$126,$R5,AS$15:AS$126)</f>
        <v>66768.383333333331</v>
      </c>
      <c r="AT5" s="94">
        <f t="shared" si="9"/>
        <v>1.65</v>
      </c>
      <c r="AU5" s="61">
        <f t="shared" si="9"/>
        <v>290.39999999999998</v>
      </c>
      <c r="AV5" s="44">
        <f>SUMIF($R$15:$R$126,$R5,AV$15:AV$126)</f>
        <v>66768.383333333331</v>
      </c>
      <c r="AW5" s="88">
        <f t="shared" si="10"/>
        <v>1.65</v>
      </c>
      <c r="AX5" s="60">
        <f t="shared" si="10"/>
        <v>290.39999999999998</v>
      </c>
      <c r="AY5" s="41">
        <f>SUMIF($R$15:$R$126,$R5,AY$15:AY$126)</f>
        <v>66768.383333333331</v>
      </c>
      <c r="AZ5" s="94">
        <f t="shared" si="11"/>
        <v>1.65</v>
      </c>
      <c r="BA5" s="61">
        <f t="shared" si="11"/>
        <v>277.2</v>
      </c>
      <c r="BB5" s="44">
        <f>SUMIF($R$15:$R$126,$R5,BB$15:BB$126)</f>
        <v>66768.383333333331</v>
      </c>
      <c r="BD5" s="286">
        <f t="shared" si="12"/>
        <v>801220.59999999974</v>
      </c>
      <c r="BE5" s="287">
        <f>0.338*(SUMIFS(BC:BC,F:F,"HPP",R:R, BH5)+SUMIFS(BC:BC,F:F,"DPČ",R:R, BH5))</f>
        <v>270812.56280000007</v>
      </c>
      <c r="BF5" s="287">
        <f>0.02*SUMIFS(BC:BC,F:F,"HPP",R:R, BH5)</f>
        <v>16024.412000000002</v>
      </c>
      <c r="BG5" s="288">
        <f t="shared" si="13"/>
        <v>1088057.5747999998</v>
      </c>
      <c r="BH5" s="63" t="s">
        <v>197</v>
      </c>
    </row>
    <row r="6" spans="1:60" ht="15" customHeight="1" thickBot="1" x14ac:dyDescent="0.35">
      <c r="A6" s="415" t="s">
        <v>155</v>
      </c>
      <c r="B6" s="407">
        <v>5109</v>
      </c>
      <c r="C6" s="426" t="s">
        <v>159</v>
      </c>
      <c r="R6" s="416" t="s">
        <v>155</v>
      </c>
      <c r="S6" s="443">
        <f t="shared" ref="S6:BB6" si="14">SUMIF($R$11:$R$139,$R6,S$11:S$139)</f>
        <v>1001.9</v>
      </c>
      <c r="T6" s="418">
        <f t="shared" si="14"/>
        <v>346.03999999999996</v>
      </c>
      <c r="U6" s="419">
        <f t="shared" si="14"/>
        <v>100117</v>
      </c>
      <c r="V6" s="444">
        <f t="shared" si="14"/>
        <v>1001.9</v>
      </c>
      <c r="W6" s="421">
        <f t="shared" si="14"/>
        <v>316.39999999999998</v>
      </c>
      <c r="X6" s="422">
        <f t="shared" si="14"/>
        <v>100117</v>
      </c>
      <c r="Y6" s="443">
        <f t="shared" si="14"/>
        <v>1001.9</v>
      </c>
      <c r="Z6" s="418">
        <f t="shared" si="14"/>
        <v>360.85999999999996</v>
      </c>
      <c r="AA6" s="419">
        <f t="shared" si="14"/>
        <v>100117</v>
      </c>
      <c r="AB6" s="444">
        <f t="shared" si="14"/>
        <v>1001.9</v>
      </c>
      <c r="AC6" s="421">
        <f t="shared" si="14"/>
        <v>316.39999999999998</v>
      </c>
      <c r="AD6" s="422">
        <f t="shared" si="14"/>
        <v>100117</v>
      </c>
      <c r="AE6" s="443">
        <f t="shared" si="14"/>
        <v>1001.9</v>
      </c>
      <c r="AF6" s="418">
        <f t="shared" si="14"/>
        <v>360.85999999999996</v>
      </c>
      <c r="AG6" s="419">
        <f t="shared" si="14"/>
        <v>100117</v>
      </c>
      <c r="AH6" s="444">
        <f t="shared" si="14"/>
        <v>1001.9</v>
      </c>
      <c r="AI6" s="421">
        <f t="shared" si="14"/>
        <v>346.03999999999996</v>
      </c>
      <c r="AJ6" s="422">
        <f t="shared" si="14"/>
        <v>100117</v>
      </c>
      <c r="AK6" s="443">
        <f t="shared" si="14"/>
        <v>1001.9</v>
      </c>
      <c r="AL6" s="418">
        <f t="shared" si="14"/>
        <v>331.22</v>
      </c>
      <c r="AM6" s="419">
        <f t="shared" si="14"/>
        <v>100117</v>
      </c>
      <c r="AN6" s="444">
        <f t="shared" si="14"/>
        <v>1001.9</v>
      </c>
      <c r="AO6" s="421">
        <f t="shared" si="14"/>
        <v>360.85999999999996</v>
      </c>
      <c r="AP6" s="422">
        <f t="shared" si="14"/>
        <v>100117</v>
      </c>
      <c r="AQ6" s="443">
        <f t="shared" si="14"/>
        <v>1001.9</v>
      </c>
      <c r="AR6" s="418">
        <f t="shared" si="14"/>
        <v>331.22</v>
      </c>
      <c r="AS6" s="419">
        <f t="shared" si="14"/>
        <v>100117</v>
      </c>
      <c r="AT6" s="444">
        <f t="shared" si="14"/>
        <v>1.9</v>
      </c>
      <c r="AU6" s="421">
        <f t="shared" si="14"/>
        <v>0</v>
      </c>
      <c r="AV6" s="422">
        <f t="shared" si="14"/>
        <v>0</v>
      </c>
      <c r="AW6" s="443">
        <f t="shared" si="14"/>
        <v>1.9</v>
      </c>
      <c r="AX6" s="418">
        <f t="shared" si="14"/>
        <v>0</v>
      </c>
      <c r="AY6" s="419">
        <f t="shared" si="14"/>
        <v>0</v>
      </c>
      <c r="AZ6" s="444">
        <f t="shared" si="14"/>
        <v>1.9</v>
      </c>
      <c r="BA6" s="421">
        <f t="shared" si="14"/>
        <v>0</v>
      </c>
      <c r="BB6" s="422">
        <f t="shared" si="14"/>
        <v>0</v>
      </c>
      <c r="BD6" s="289">
        <f>SUM(U6,X6,AA6,AD6,AG6,AJ6,AM6,AP6,AS6,AV6,AY6,BB6)</f>
        <v>901053</v>
      </c>
      <c r="BE6" s="311">
        <f>0.338*(SUMIFS(BC:BC,F:F,"HPP",R:R, BH6)+SUMIFS(BC:BC,F:F,"DPČ",R:R, BH6))</f>
        <v>274135.91399999999</v>
      </c>
      <c r="BF6" s="311">
        <f>0.02*SUMIFS(BC:BC,F:F,"HPP",R:R, BH6)</f>
        <v>16221.06</v>
      </c>
      <c r="BG6" s="334">
        <f>SUM(BD6:BF6)</f>
        <v>1191409.9739999999</v>
      </c>
      <c r="BH6" s="119" t="s">
        <v>155</v>
      </c>
    </row>
    <row r="7" spans="1:60" ht="15" thickBot="1" x14ac:dyDescent="0.35"/>
    <row r="8" spans="1:60" ht="15" customHeight="1" thickBot="1" x14ac:dyDescent="0.35">
      <c r="L8" s="553" t="s">
        <v>37</v>
      </c>
      <c r="M8" s="554"/>
      <c r="N8" s="554"/>
      <c r="O8" s="554"/>
      <c r="P8" s="554"/>
      <c r="Q8" s="555"/>
      <c r="R8" s="547" t="s">
        <v>26</v>
      </c>
      <c r="S8" s="542">
        <v>44927</v>
      </c>
      <c r="T8" s="543"/>
      <c r="U8" s="544"/>
      <c r="V8" s="542">
        <v>44958</v>
      </c>
      <c r="W8" s="543"/>
      <c r="X8" s="544"/>
      <c r="Y8" s="542">
        <v>44986</v>
      </c>
      <c r="Z8" s="543"/>
      <c r="AA8" s="544"/>
      <c r="AB8" s="542">
        <v>45017</v>
      </c>
      <c r="AC8" s="543"/>
      <c r="AD8" s="544"/>
      <c r="AE8" s="542">
        <v>45047</v>
      </c>
      <c r="AF8" s="543"/>
      <c r="AG8" s="544"/>
      <c r="AH8" s="542">
        <v>45078</v>
      </c>
      <c r="AI8" s="543"/>
      <c r="AJ8" s="544"/>
      <c r="AK8" s="542">
        <v>45108</v>
      </c>
      <c r="AL8" s="543"/>
      <c r="AM8" s="544"/>
      <c r="AN8" s="542">
        <v>45139</v>
      </c>
      <c r="AO8" s="543"/>
      <c r="AP8" s="544"/>
      <c r="AQ8" s="542">
        <v>45170</v>
      </c>
      <c r="AR8" s="543"/>
      <c r="AS8" s="544"/>
      <c r="AT8" s="542">
        <v>45200</v>
      </c>
      <c r="AU8" s="543"/>
      <c r="AV8" s="544"/>
      <c r="AW8" s="542">
        <v>45231</v>
      </c>
      <c r="AX8" s="543"/>
      <c r="AY8" s="544"/>
      <c r="AZ8" s="542">
        <v>45261</v>
      </c>
      <c r="BA8" s="543"/>
      <c r="BB8" s="544"/>
      <c r="BC8" s="282" t="s">
        <v>126</v>
      </c>
    </row>
    <row r="9" spans="1:60" ht="15" thickBot="1" x14ac:dyDescent="0.35">
      <c r="A9" s="151"/>
      <c r="B9" s="152"/>
      <c r="C9" s="153"/>
      <c r="L9" s="556"/>
      <c r="M9" s="557"/>
      <c r="N9" s="557"/>
      <c r="O9" s="557"/>
      <c r="P9" s="557"/>
      <c r="Q9" s="558"/>
      <c r="R9" s="548"/>
      <c r="S9" s="550">
        <v>176</v>
      </c>
      <c r="T9" s="551"/>
      <c r="U9" s="552"/>
      <c r="V9" s="562">
        <v>160</v>
      </c>
      <c r="W9" s="563"/>
      <c r="X9" s="568"/>
      <c r="Y9" s="559">
        <v>184</v>
      </c>
      <c r="Z9" s="560"/>
      <c r="AA9" s="561"/>
      <c r="AB9" s="562">
        <v>160</v>
      </c>
      <c r="AC9" s="563"/>
      <c r="AD9" s="568"/>
      <c r="AE9" s="559">
        <v>184</v>
      </c>
      <c r="AF9" s="560"/>
      <c r="AG9" s="561"/>
      <c r="AH9" s="562">
        <v>176</v>
      </c>
      <c r="AI9" s="563"/>
      <c r="AJ9" s="568"/>
      <c r="AK9" s="559">
        <v>168</v>
      </c>
      <c r="AL9" s="560"/>
      <c r="AM9" s="561"/>
      <c r="AN9" s="562">
        <v>184</v>
      </c>
      <c r="AO9" s="563"/>
      <c r="AP9" s="568"/>
      <c r="AQ9" s="559">
        <v>168</v>
      </c>
      <c r="AR9" s="560"/>
      <c r="AS9" s="561"/>
      <c r="AT9" s="562">
        <v>176</v>
      </c>
      <c r="AU9" s="563"/>
      <c r="AV9" s="568"/>
      <c r="AW9" s="559">
        <v>176</v>
      </c>
      <c r="AX9" s="560"/>
      <c r="AY9" s="561"/>
      <c r="AZ9" s="562">
        <v>168</v>
      </c>
      <c r="BA9" s="563"/>
      <c r="BB9" s="564"/>
      <c r="BC9" s="283">
        <f>SUM(S9:BB9)</f>
        <v>2080</v>
      </c>
    </row>
    <row r="10" spans="1:60" ht="42" customHeight="1" thickBot="1" x14ac:dyDescent="0.35">
      <c r="A10" s="165" t="s">
        <v>51</v>
      </c>
      <c r="B10" s="150" t="s">
        <v>26</v>
      </c>
      <c r="C10" s="413" t="s">
        <v>56</v>
      </c>
      <c r="D10" s="413" t="s">
        <v>52</v>
      </c>
      <c r="E10" s="413" t="s">
        <v>60</v>
      </c>
      <c r="F10" s="413" t="s">
        <v>53</v>
      </c>
      <c r="G10" s="413" t="s">
        <v>54</v>
      </c>
      <c r="H10" s="413" t="s">
        <v>94</v>
      </c>
      <c r="I10" s="413" t="s">
        <v>160</v>
      </c>
      <c r="J10" s="413" t="s">
        <v>161</v>
      </c>
      <c r="K10" s="392" t="s">
        <v>55</v>
      </c>
      <c r="L10" s="147" t="s">
        <v>38</v>
      </c>
      <c r="M10" s="148" t="s">
        <v>39</v>
      </c>
      <c r="N10" s="148" t="s">
        <v>40</v>
      </c>
      <c r="O10" s="148" t="s">
        <v>41</v>
      </c>
      <c r="P10" s="148" t="s">
        <v>42</v>
      </c>
      <c r="Q10" s="149" t="s">
        <v>43</v>
      </c>
      <c r="R10" s="549"/>
      <c r="S10" s="53" t="s">
        <v>0</v>
      </c>
      <c r="T10" s="54" t="s">
        <v>28</v>
      </c>
      <c r="U10" s="55" t="s">
        <v>17</v>
      </c>
      <c r="V10" s="56" t="s">
        <v>0</v>
      </c>
      <c r="W10" s="57" t="s">
        <v>28</v>
      </c>
      <c r="X10" s="58" t="s">
        <v>17</v>
      </c>
      <c r="Y10" s="53" t="s">
        <v>0</v>
      </c>
      <c r="Z10" s="54" t="s">
        <v>28</v>
      </c>
      <c r="AA10" s="55" t="s">
        <v>17</v>
      </c>
      <c r="AB10" s="56" t="s">
        <v>0</v>
      </c>
      <c r="AC10" s="57" t="s">
        <v>28</v>
      </c>
      <c r="AD10" s="58" t="s">
        <v>17</v>
      </c>
      <c r="AE10" s="53" t="s">
        <v>0</v>
      </c>
      <c r="AF10" s="54" t="s">
        <v>28</v>
      </c>
      <c r="AG10" s="55" t="s">
        <v>17</v>
      </c>
      <c r="AH10" s="56" t="s">
        <v>0</v>
      </c>
      <c r="AI10" s="57" t="s">
        <v>28</v>
      </c>
      <c r="AJ10" s="58" t="s">
        <v>17</v>
      </c>
      <c r="AK10" s="53" t="s">
        <v>0</v>
      </c>
      <c r="AL10" s="54" t="s">
        <v>28</v>
      </c>
      <c r="AM10" s="55" t="s">
        <v>17</v>
      </c>
      <c r="AN10" s="56" t="s">
        <v>0</v>
      </c>
      <c r="AO10" s="57" t="s">
        <v>28</v>
      </c>
      <c r="AP10" s="58" t="s">
        <v>17</v>
      </c>
      <c r="AQ10" s="53" t="s">
        <v>0</v>
      </c>
      <c r="AR10" s="54" t="s">
        <v>28</v>
      </c>
      <c r="AS10" s="55" t="s">
        <v>17</v>
      </c>
      <c r="AT10" s="56" t="s">
        <v>0</v>
      </c>
      <c r="AU10" s="57" t="s">
        <v>28</v>
      </c>
      <c r="AV10" s="58" t="s">
        <v>17</v>
      </c>
      <c r="AW10" s="53" t="s">
        <v>0</v>
      </c>
      <c r="AX10" s="54" t="s">
        <v>28</v>
      </c>
      <c r="AY10" s="55" t="s">
        <v>17</v>
      </c>
      <c r="AZ10" s="56" t="s">
        <v>0</v>
      </c>
      <c r="BA10" s="57" t="s">
        <v>28</v>
      </c>
      <c r="BB10" s="273" t="s">
        <v>17</v>
      </c>
      <c r="BC10" s="284" t="s">
        <v>17</v>
      </c>
    </row>
    <row r="11" spans="1:60" ht="15" thickBot="1" x14ac:dyDescent="0.35">
      <c r="A11" s="569" t="s">
        <v>154</v>
      </c>
      <c r="B11" s="62" t="s">
        <v>7</v>
      </c>
      <c r="C11" s="167" t="s">
        <v>58</v>
      </c>
      <c r="D11" s="174">
        <v>0</v>
      </c>
      <c r="E11" s="9"/>
      <c r="F11" s="185" t="s">
        <v>50</v>
      </c>
      <c r="G11" s="10">
        <v>44256</v>
      </c>
      <c r="H11" s="225"/>
      <c r="I11" s="225"/>
      <c r="J11" s="225"/>
      <c r="K11" s="17"/>
      <c r="L11" s="375">
        <v>44805</v>
      </c>
      <c r="M11" s="5">
        <v>45291</v>
      </c>
      <c r="N11" s="109" t="s">
        <v>92</v>
      </c>
      <c r="O11" s="22">
        <f>1614+30666</f>
        <v>32280</v>
      </c>
      <c r="P11" s="22">
        <f>1100+20900</f>
        <v>22000</v>
      </c>
      <c r="Q11" s="23">
        <f>P11+O11</f>
        <v>54280</v>
      </c>
      <c r="R11" s="62" t="s">
        <v>7</v>
      </c>
      <c r="S11" s="26">
        <v>0.05</v>
      </c>
      <c r="T11" s="214">
        <f>(S$9*S11)-(T$14*S11)</f>
        <v>8.8000000000000007</v>
      </c>
      <c r="U11" s="21">
        <f>IF(S$9&lt;$M$11,$Q$11,#REF!)*S11</f>
        <v>2714</v>
      </c>
      <c r="V11" s="26">
        <v>0.05</v>
      </c>
      <c r="W11" s="214">
        <f>(V$9*V11)-(W$14*V11)</f>
        <v>8</v>
      </c>
      <c r="X11" s="21">
        <f>IF(V$9&lt;$M$11,$Q$11,#REF!)*V11</f>
        <v>2714</v>
      </c>
      <c r="Y11" s="26">
        <v>0.05</v>
      </c>
      <c r="Z11" s="214">
        <f>(Y$9*Y11)-(Z$14*Y11)</f>
        <v>9.2000000000000011</v>
      </c>
      <c r="AA11" s="21">
        <f>IF(Y$9&lt;$M$11,$Q$11,#REF!)*Y11</f>
        <v>2714</v>
      </c>
      <c r="AB11" s="26">
        <v>0.05</v>
      </c>
      <c r="AC11" s="214">
        <f>(AB$9*AB11)-(AC$14*AB11)</f>
        <v>8</v>
      </c>
      <c r="AD11" s="21">
        <f>IF(AB$9&lt;$M$11,$Q$11,#REF!)*AB11</f>
        <v>2714</v>
      </c>
      <c r="AE11" s="26">
        <v>0.05</v>
      </c>
      <c r="AF11" s="214">
        <f>(AE$9*AE11)-(AF$14*AE11)</f>
        <v>9.2000000000000011</v>
      </c>
      <c r="AG11" s="21">
        <f>IF(AE$9&lt;$M$11,$Q$11,#REF!)*AE11</f>
        <v>2714</v>
      </c>
      <c r="AH11" s="26">
        <v>0.05</v>
      </c>
      <c r="AI11" s="214">
        <f>(AH$9*AH11)-(AI$14*AH11)</f>
        <v>8.8000000000000007</v>
      </c>
      <c r="AJ11" s="21">
        <f>IF(AH$9&lt;$M$11,$Q$11,#REF!)*AH11</f>
        <v>2714</v>
      </c>
      <c r="AK11" s="26">
        <v>0.05</v>
      </c>
      <c r="AL11" s="214">
        <f>(AK$9*AK11)-(AL$14*AK11)</f>
        <v>8.4</v>
      </c>
      <c r="AM11" s="21">
        <f>IF(AK$9&lt;$M$11,$Q$11,#REF!)*AK11</f>
        <v>2714</v>
      </c>
      <c r="AN11" s="26">
        <v>0.05</v>
      </c>
      <c r="AO11" s="214">
        <f>(AN$9*AN11)-(AO$14*AN11)</f>
        <v>9.2000000000000011</v>
      </c>
      <c r="AP11" s="21">
        <f>IF(AN$9&lt;$M$11,$Q$11,#REF!)*AN11</f>
        <v>2714</v>
      </c>
      <c r="AQ11" s="26">
        <v>0.05</v>
      </c>
      <c r="AR11" s="214">
        <f>(AQ$9*AQ11)-(AR$14*AQ11)</f>
        <v>8.4</v>
      </c>
      <c r="AS11" s="21">
        <f>IF(AQ$9&lt;$M$11,$Q$11,#REF!)*AQ11</f>
        <v>2714</v>
      </c>
      <c r="AT11" s="26">
        <v>0.05</v>
      </c>
      <c r="AU11" s="214">
        <f>(AT$9*AT11)-(AU$14*AT11)</f>
        <v>8.8000000000000007</v>
      </c>
      <c r="AV11" s="21">
        <f>IF(AT$9&lt;$M$11,$Q$11,#REF!)*AT11</f>
        <v>2714</v>
      </c>
      <c r="AW11" s="26">
        <v>0.05</v>
      </c>
      <c r="AX11" s="214">
        <f>(AW$9*AW11)-(AX$14*AW11)</f>
        <v>8.8000000000000007</v>
      </c>
      <c r="AY11" s="21">
        <f>IF(AW$9&lt;$M$11,$Q$11,#REF!)*AW11</f>
        <v>2714</v>
      </c>
      <c r="AZ11" s="26">
        <v>0.05</v>
      </c>
      <c r="BA11" s="214">
        <f>(AZ$9*AZ11)-(BA$14*AZ11)</f>
        <v>8.4</v>
      </c>
      <c r="BB11" s="21">
        <f>IF(AZ$9&lt;$M$11,$Q$11,#REF!)*AZ11</f>
        <v>2714</v>
      </c>
      <c r="BC11" s="285">
        <f>SUM(U11,X11,AA11,AD11,AG11,AJ11,AM11,AP11,AS11,AV11,AY11,BB11)</f>
        <v>32568</v>
      </c>
    </row>
    <row r="12" spans="1:60" ht="15" thickBot="1" x14ac:dyDescent="0.35">
      <c r="A12" s="570"/>
      <c r="B12" s="63" t="s">
        <v>155</v>
      </c>
      <c r="C12" s="158" t="s">
        <v>58</v>
      </c>
      <c r="D12" s="171"/>
      <c r="E12" s="4"/>
      <c r="F12" s="185" t="s">
        <v>50</v>
      </c>
      <c r="G12" s="10">
        <v>44256</v>
      </c>
      <c r="H12" s="222">
        <v>45199</v>
      </c>
      <c r="I12" s="222"/>
      <c r="J12" s="222"/>
      <c r="K12" s="18"/>
      <c r="L12" s="20"/>
      <c r="M12" s="22"/>
      <c r="N12" s="107"/>
      <c r="O12" s="22"/>
      <c r="P12" s="22"/>
      <c r="Q12" s="23"/>
      <c r="R12" s="63" t="s">
        <v>155</v>
      </c>
      <c r="S12" s="24">
        <v>0.95</v>
      </c>
      <c r="T12" s="214">
        <f>(S$9*S12)-(T$14*S12)</f>
        <v>167.2</v>
      </c>
      <c r="U12" s="21">
        <f>IF(S$9&lt;$M$11,$Q$11,#REF!)*S12</f>
        <v>51566</v>
      </c>
      <c r="V12" s="24">
        <v>0.95</v>
      </c>
      <c r="W12" s="214">
        <f>(V$9*V12)-(W$14*V12)</f>
        <v>152</v>
      </c>
      <c r="X12" s="21">
        <f>IF(V$9&lt;$M$11,$Q$11,#REF!)*V12</f>
        <v>51566</v>
      </c>
      <c r="Y12" s="24">
        <v>0.95</v>
      </c>
      <c r="Z12" s="214">
        <f>(Y$9*Y12)-(Z$14*Y12)</f>
        <v>174.79999999999998</v>
      </c>
      <c r="AA12" s="21">
        <f>IF(Y$9&lt;$M$11,$Q$11,#REF!)*Y12</f>
        <v>51566</v>
      </c>
      <c r="AB12" s="24">
        <v>0.95</v>
      </c>
      <c r="AC12" s="214">
        <f>(AB$9*AB12)-(AC$14*AB12)</f>
        <v>152</v>
      </c>
      <c r="AD12" s="21">
        <f>IF(AB$9&lt;$M$11,$Q$11,#REF!)*AB12</f>
        <v>51566</v>
      </c>
      <c r="AE12" s="24">
        <v>0.95</v>
      </c>
      <c r="AF12" s="214">
        <f>(AE$9*AE12)-(AF$14*AE12)</f>
        <v>174.79999999999998</v>
      </c>
      <c r="AG12" s="21">
        <f>IF(AE$9&lt;$M$11,$Q$11,#REF!)*AE12</f>
        <v>51566</v>
      </c>
      <c r="AH12" s="24">
        <v>0.95</v>
      </c>
      <c r="AI12" s="214">
        <f>(AH$9*AH12)-(AI$14*AH12)</f>
        <v>167.2</v>
      </c>
      <c r="AJ12" s="21">
        <f>IF(AH$9&lt;$M$11,$Q$11,#REF!)*AH12</f>
        <v>51566</v>
      </c>
      <c r="AK12" s="24">
        <v>0.95</v>
      </c>
      <c r="AL12" s="214">
        <f>(AK$9*AK12)-(AL$14*AK12)</f>
        <v>159.6</v>
      </c>
      <c r="AM12" s="21">
        <f>IF(AK$9&lt;$M$11,$Q$11,#REF!)*AK12</f>
        <v>51566</v>
      </c>
      <c r="AN12" s="24">
        <v>0.95</v>
      </c>
      <c r="AO12" s="214">
        <f>(AN$9*AN12)-(AO$14*AN12)</f>
        <v>174.79999999999998</v>
      </c>
      <c r="AP12" s="21">
        <f>IF(AN$9&lt;$M$11,$Q$11,#REF!)*AN12</f>
        <v>51566</v>
      </c>
      <c r="AQ12" s="24">
        <v>0.95</v>
      </c>
      <c r="AR12" s="214">
        <f>(AQ$9*AQ12)-(AR$14*AQ12)</f>
        <v>159.6</v>
      </c>
      <c r="AS12" s="21">
        <f>IF(AQ$9&lt;$M$11,$Q$11,#REF!)*AQ12</f>
        <v>51566</v>
      </c>
      <c r="AT12" s="349">
        <v>0.95</v>
      </c>
      <c r="AU12" s="442"/>
      <c r="AV12" s="351"/>
      <c r="AW12" s="349">
        <v>0.95</v>
      </c>
      <c r="AX12" s="442"/>
      <c r="AY12" s="351"/>
      <c r="AZ12" s="349">
        <v>0.95</v>
      </c>
      <c r="BA12" s="442"/>
      <c r="BB12" s="351"/>
      <c r="BC12" s="285">
        <f t="shared" ref="BC12:BC13" si="15">SUM(U12,X12,AA12,AD12,AG12,AJ12,AM12,AP12,AS12,AV12,AY12,BB12)</f>
        <v>464094</v>
      </c>
    </row>
    <row r="13" spans="1:60" ht="15" thickBot="1" x14ac:dyDescent="0.35">
      <c r="A13" s="570"/>
      <c r="B13" s="63" t="s">
        <v>36</v>
      </c>
      <c r="C13" s="156"/>
      <c r="D13" s="171"/>
      <c r="E13" s="4"/>
      <c r="F13" s="182"/>
      <c r="G13" s="5"/>
      <c r="H13" s="222"/>
      <c r="I13" s="222"/>
      <c r="J13" s="222"/>
      <c r="K13" s="18"/>
      <c r="L13" s="20"/>
      <c r="M13" s="22"/>
      <c r="N13" s="107"/>
      <c r="O13" s="22"/>
      <c r="P13" s="22"/>
      <c r="Q13" s="23"/>
      <c r="R13" s="63" t="s">
        <v>36</v>
      </c>
      <c r="S13" s="27">
        <f t="shared" ref="S13:BB13" si="16">SUM(S11:S12)</f>
        <v>1</v>
      </c>
      <c r="T13" s="77">
        <f t="shared" si="16"/>
        <v>176</v>
      </c>
      <c r="U13" s="28">
        <f t="shared" si="16"/>
        <v>54280</v>
      </c>
      <c r="V13" s="27">
        <f t="shared" si="16"/>
        <v>1</v>
      </c>
      <c r="W13" s="77">
        <f t="shared" si="16"/>
        <v>160</v>
      </c>
      <c r="X13" s="28">
        <f t="shared" si="16"/>
        <v>54280</v>
      </c>
      <c r="Y13" s="27">
        <f t="shared" si="16"/>
        <v>1</v>
      </c>
      <c r="Z13" s="77">
        <f t="shared" si="16"/>
        <v>183.99999999999997</v>
      </c>
      <c r="AA13" s="28">
        <f t="shared" si="16"/>
        <v>54280</v>
      </c>
      <c r="AB13" s="27">
        <f t="shared" si="16"/>
        <v>1</v>
      </c>
      <c r="AC13" s="77">
        <f t="shared" si="16"/>
        <v>160</v>
      </c>
      <c r="AD13" s="28">
        <f t="shared" si="16"/>
        <v>54280</v>
      </c>
      <c r="AE13" s="27">
        <f t="shared" si="16"/>
        <v>1</v>
      </c>
      <c r="AF13" s="77">
        <f t="shared" si="16"/>
        <v>183.99999999999997</v>
      </c>
      <c r="AG13" s="28">
        <f t="shared" si="16"/>
        <v>54280</v>
      </c>
      <c r="AH13" s="27">
        <f t="shared" si="16"/>
        <v>1</v>
      </c>
      <c r="AI13" s="77">
        <f t="shared" si="16"/>
        <v>176</v>
      </c>
      <c r="AJ13" s="28">
        <f t="shared" si="16"/>
        <v>54280</v>
      </c>
      <c r="AK13" s="27">
        <f t="shared" si="16"/>
        <v>1</v>
      </c>
      <c r="AL13" s="77">
        <f t="shared" si="16"/>
        <v>168</v>
      </c>
      <c r="AM13" s="28">
        <f t="shared" si="16"/>
        <v>54280</v>
      </c>
      <c r="AN13" s="27">
        <f t="shared" si="16"/>
        <v>1</v>
      </c>
      <c r="AO13" s="77">
        <f t="shared" si="16"/>
        <v>183.99999999999997</v>
      </c>
      <c r="AP13" s="28">
        <f t="shared" si="16"/>
        <v>54280</v>
      </c>
      <c r="AQ13" s="27">
        <f t="shared" si="16"/>
        <v>1</v>
      </c>
      <c r="AR13" s="77">
        <f t="shared" si="16"/>
        <v>168</v>
      </c>
      <c r="AS13" s="28">
        <f t="shared" si="16"/>
        <v>54280</v>
      </c>
      <c r="AT13" s="27">
        <f t="shared" si="16"/>
        <v>1</v>
      </c>
      <c r="AU13" s="77">
        <f t="shared" si="16"/>
        <v>8.8000000000000007</v>
      </c>
      <c r="AV13" s="28">
        <f t="shared" si="16"/>
        <v>2714</v>
      </c>
      <c r="AW13" s="27">
        <f t="shared" si="16"/>
        <v>1</v>
      </c>
      <c r="AX13" s="77">
        <f t="shared" si="16"/>
        <v>8.8000000000000007</v>
      </c>
      <c r="AY13" s="28">
        <f t="shared" si="16"/>
        <v>2714</v>
      </c>
      <c r="AZ13" s="27">
        <f t="shared" si="16"/>
        <v>1</v>
      </c>
      <c r="BA13" s="77">
        <f t="shared" si="16"/>
        <v>8.4</v>
      </c>
      <c r="BB13" s="28">
        <f t="shared" si="16"/>
        <v>2714</v>
      </c>
      <c r="BC13" s="285">
        <f t="shared" si="15"/>
        <v>496662</v>
      </c>
    </row>
    <row r="14" spans="1:60" ht="15" thickBot="1" x14ac:dyDescent="0.35">
      <c r="A14" s="571"/>
      <c r="B14" s="340" t="s">
        <v>27</v>
      </c>
      <c r="C14" s="157"/>
      <c r="D14" s="173"/>
      <c r="E14" s="6"/>
      <c r="F14" s="184"/>
      <c r="G14" s="8"/>
      <c r="H14" s="224"/>
      <c r="I14" s="224"/>
      <c r="J14" s="224"/>
      <c r="K14" s="16"/>
      <c r="L14" s="29"/>
      <c r="M14" s="108"/>
      <c r="N14" s="111"/>
      <c r="O14" s="108"/>
      <c r="P14" s="108"/>
      <c r="Q14" s="99"/>
      <c r="R14" s="342" t="s">
        <v>27</v>
      </c>
      <c r="S14" s="25"/>
      <c r="T14" s="78">
        <f>S14*8*S13</f>
        <v>0</v>
      </c>
      <c r="U14" s="13"/>
      <c r="V14" s="25"/>
      <c r="W14" s="78">
        <f>V14*8*V13</f>
        <v>0</v>
      </c>
      <c r="X14" s="13"/>
      <c r="Y14" s="25"/>
      <c r="Z14" s="78">
        <f t="shared" ref="Z14" si="17">Y14*8*Y13</f>
        <v>0</v>
      </c>
      <c r="AA14" s="13"/>
      <c r="AB14" s="25"/>
      <c r="AC14" s="78">
        <f t="shared" ref="AC14" si="18">AB14*8*AB13</f>
        <v>0</v>
      </c>
      <c r="AD14" s="13"/>
      <c r="AE14" s="25"/>
      <c r="AF14" s="78">
        <f t="shared" ref="AF14" si="19">AE14*8*AE13</f>
        <v>0</v>
      </c>
      <c r="AG14" s="13"/>
      <c r="AH14" s="25"/>
      <c r="AI14" s="78">
        <f t="shared" ref="AI14" si="20">AH14*8*AH13</f>
        <v>0</v>
      </c>
      <c r="AJ14" s="13"/>
      <c r="AK14" s="25"/>
      <c r="AL14" s="78">
        <f t="shared" ref="AL14" si="21">AK14*8*AK13</f>
        <v>0</v>
      </c>
      <c r="AM14" s="13"/>
      <c r="AN14" s="25"/>
      <c r="AO14" s="78">
        <f t="shared" ref="AO14" si="22">AN14*8*AN13</f>
        <v>0</v>
      </c>
      <c r="AP14" s="13"/>
      <c r="AQ14" s="25"/>
      <c r="AR14" s="78">
        <f t="shared" ref="AR14" si="23">AQ14*8*AQ13</f>
        <v>0</v>
      </c>
      <c r="AS14" s="13"/>
      <c r="AT14" s="25"/>
      <c r="AU14" s="78">
        <f t="shared" ref="AU14" si="24">AT14*8*AT13</f>
        <v>0</v>
      </c>
      <c r="AV14" s="13"/>
      <c r="AW14" s="25"/>
      <c r="AX14" s="78">
        <f t="shared" ref="AX14" si="25">AW14*8*AW13</f>
        <v>0</v>
      </c>
      <c r="AY14" s="13"/>
      <c r="AZ14" s="25"/>
      <c r="BA14" s="78">
        <f t="shared" ref="BA14" si="26">AZ14*8*AZ13</f>
        <v>0</v>
      </c>
      <c r="BB14" s="13"/>
      <c r="BC14" s="344">
        <f>25-(S14+V14+Y14+AB14+AE14+AH14+AK14+AN14+AQ14+AT14+AW14+AZ14)</f>
        <v>25</v>
      </c>
    </row>
    <row r="15" spans="1:60" ht="15" thickBot="1" x14ac:dyDescent="0.35">
      <c r="A15" s="539" t="s">
        <v>62</v>
      </c>
      <c r="B15" s="62" t="s">
        <v>7</v>
      </c>
      <c r="C15" s="216" t="s">
        <v>57</v>
      </c>
      <c r="D15" s="170">
        <v>0.2</v>
      </c>
      <c r="E15" s="3"/>
      <c r="F15" s="181" t="s">
        <v>50</v>
      </c>
      <c r="G15" s="132">
        <v>42522</v>
      </c>
      <c r="H15" s="221"/>
      <c r="I15" s="221"/>
      <c r="J15" s="221"/>
      <c r="K15" s="138"/>
      <c r="L15" s="375">
        <v>44805</v>
      </c>
      <c r="M15" s="5">
        <v>45291</v>
      </c>
      <c r="N15" s="109" t="s">
        <v>14</v>
      </c>
      <c r="O15" s="22">
        <f>10030+2006</f>
        <v>12036</v>
      </c>
      <c r="P15" s="22">
        <f>750+150</f>
        <v>900</v>
      </c>
      <c r="Q15" s="23">
        <f>P15+O15</f>
        <v>12936</v>
      </c>
      <c r="R15" s="125" t="s">
        <v>7</v>
      </c>
      <c r="S15" s="118">
        <v>0.05</v>
      </c>
      <c r="T15" s="215">
        <f>(S$9*S15)-(T$18*S15)</f>
        <v>8.8000000000000007</v>
      </c>
      <c r="U15" s="455">
        <f>(1/S$17)*IF(S$8&lt;$M$15,$Q$15,$Q$16)*S15</f>
        <v>2156</v>
      </c>
      <c r="V15" s="118">
        <v>0.05</v>
      </c>
      <c r="W15" s="215">
        <f>(V$9*V15)-(W$18*V15)</f>
        <v>8</v>
      </c>
      <c r="X15" s="455">
        <f>(1/V$17)*IF(V$8&lt;$M$15,$Q$15,$Q$16)*V15</f>
        <v>2156</v>
      </c>
      <c r="Y15" s="118">
        <v>0.05</v>
      </c>
      <c r="Z15" s="215">
        <f>(Y$9*Y15)-(Z$18*Y15)</f>
        <v>9.2000000000000011</v>
      </c>
      <c r="AA15" s="455">
        <f>(1/Y$17)*IF(Y$8&lt;$M$15,$Q$15,$Q$16)*Y15</f>
        <v>2156</v>
      </c>
      <c r="AB15" s="118">
        <v>0.05</v>
      </c>
      <c r="AC15" s="215">
        <f>(AB$9*AB15)-(AC$18*AB15)</f>
        <v>8</v>
      </c>
      <c r="AD15" s="455">
        <f>(1/AB$17)*IF(AB$8&lt;$M$15,$Q$15,$Q$16)*AB15</f>
        <v>2156</v>
      </c>
      <c r="AE15" s="118">
        <v>0.05</v>
      </c>
      <c r="AF15" s="215">
        <f>(AE$9*AE15)-(AF$18*AE15)</f>
        <v>9.2000000000000011</v>
      </c>
      <c r="AG15" s="455">
        <f>(1/AE$17)*IF(AE$8&lt;$M$15,$Q$15,$Q$16)*AE15</f>
        <v>2156</v>
      </c>
      <c r="AH15" s="118">
        <v>0.05</v>
      </c>
      <c r="AI15" s="215">
        <f>(AH$9*AH15)-(AI$18*AH15)</f>
        <v>8.8000000000000007</v>
      </c>
      <c r="AJ15" s="455">
        <f>(1/AH$17)*IF(AH$8&lt;$M$15,$Q$15,$Q$16)*AH15</f>
        <v>2156</v>
      </c>
      <c r="AK15" s="118">
        <v>0.05</v>
      </c>
      <c r="AL15" s="215">
        <f>(AK$9*AK15)-(AL$18*AK15)</f>
        <v>8.4</v>
      </c>
      <c r="AM15" s="455">
        <f>(1/AK$17)*IF(AK$8&lt;$M$15,$Q$15,$Q$16)*AK15</f>
        <v>2156</v>
      </c>
      <c r="AN15" s="118">
        <v>0.05</v>
      </c>
      <c r="AO15" s="215">
        <f>(AN$9*AN15)-(AO$18*AN15)</f>
        <v>9.2000000000000011</v>
      </c>
      <c r="AP15" s="455">
        <f>(1/AN$17)*IF(AN$8&lt;$M$15,$Q$15,$Q$16)*AN15</f>
        <v>2156</v>
      </c>
      <c r="AQ15" s="118">
        <v>0.05</v>
      </c>
      <c r="AR15" s="215">
        <f>(AQ$9*AQ15)-(AR$18*AQ15)</f>
        <v>8.4</v>
      </c>
      <c r="AS15" s="455">
        <f>(1/AQ$17)*IF(AQ$8&lt;$M$15,$Q$15,$Q$16)*AQ15</f>
        <v>2156</v>
      </c>
      <c r="AT15" s="118">
        <v>0.05</v>
      </c>
      <c r="AU15" s="215">
        <f>(AT$9*AT15)-(AU$18*AT15)</f>
        <v>8.8000000000000007</v>
      </c>
      <c r="AV15" s="455">
        <f>(1/AT$17)*IF(AT$8&lt;$M$15,$Q$15,$Q$16)*AT15</f>
        <v>2156</v>
      </c>
      <c r="AW15" s="118">
        <v>0.05</v>
      </c>
      <c r="AX15" s="215">
        <f>(AW$9*AW15)-(AX$18*AW15)</f>
        <v>8.8000000000000007</v>
      </c>
      <c r="AY15" s="455">
        <f>(1/AW$17)*IF(AW$8&lt;$M$15,$Q$15,$Q$16)*AW15</f>
        <v>2156</v>
      </c>
      <c r="AZ15" s="118">
        <v>0.05</v>
      </c>
      <c r="BA15" s="215">
        <f>(AZ$9*AZ15)-(BA$18*AZ15)</f>
        <v>8.4</v>
      </c>
      <c r="BB15" s="455">
        <f>(1/AZ$17)*IF(AZ$8&lt;$M$15,$Q$15,$Q$16)*AZ15</f>
        <v>2156</v>
      </c>
      <c r="BC15" s="285">
        <f>SUM(U15,X15,AA15,AD15,AG15,AJ15,AM15,AP15,AS15,AV15,AY15,BB15)</f>
        <v>25872</v>
      </c>
    </row>
    <row r="16" spans="1:60" ht="15" thickBot="1" x14ac:dyDescent="0.35">
      <c r="A16" s="540"/>
      <c r="B16" s="63" t="s">
        <v>6</v>
      </c>
      <c r="C16" s="217" t="s">
        <v>58</v>
      </c>
      <c r="D16" s="171"/>
      <c r="E16" s="4" t="s">
        <v>59</v>
      </c>
      <c r="F16" s="182" t="s">
        <v>50</v>
      </c>
      <c r="G16" s="5">
        <v>43831</v>
      </c>
      <c r="H16" s="222">
        <v>45230</v>
      </c>
      <c r="I16" s="222"/>
      <c r="J16" s="222"/>
      <c r="K16" s="18"/>
      <c r="L16" s="20"/>
      <c r="M16" s="22"/>
      <c r="N16" s="22"/>
      <c r="O16" s="22"/>
      <c r="P16" s="22"/>
      <c r="Q16" s="126"/>
      <c r="R16" s="31" t="s">
        <v>6</v>
      </c>
      <c r="S16" s="24">
        <v>0.25</v>
      </c>
      <c r="T16" s="96">
        <f>(S$9*S16)-(T$18*S16)</f>
        <v>44</v>
      </c>
      <c r="U16" s="456">
        <f>(1/S$17)*IF(S$8&lt;$M$15,$Q$15,$Q$16)*S16</f>
        <v>10780</v>
      </c>
      <c r="V16" s="24">
        <v>0.25</v>
      </c>
      <c r="W16" s="96">
        <f>(V$9*V16)-(W$18*V16)</f>
        <v>40</v>
      </c>
      <c r="X16" s="456">
        <f>(1/V$17)*IF(V$8&lt;$M$15,$Q$15,$Q$16)*V16</f>
        <v>10780</v>
      </c>
      <c r="Y16" s="24">
        <v>0.25</v>
      </c>
      <c r="Z16" s="96">
        <f>(Y$9*Y16)-(Z$18*Y16)</f>
        <v>46</v>
      </c>
      <c r="AA16" s="456">
        <f>(1/Y$17)*IF(Y$8&lt;$M$15,$Q$15,$Q$16)*Y16</f>
        <v>10780</v>
      </c>
      <c r="AB16" s="24">
        <v>0.25</v>
      </c>
      <c r="AC16" s="96">
        <f>(AB$9*AB16)-(AC$18*AB16)</f>
        <v>40</v>
      </c>
      <c r="AD16" s="456">
        <f>(1/AB$17)*IF(AB$8&lt;$M$15,$Q$15,$Q$16)*AB16</f>
        <v>10780</v>
      </c>
      <c r="AE16" s="24">
        <v>0.25</v>
      </c>
      <c r="AF16" s="96">
        <f>(AE$9*AE16)-(AF$18*AE16)</f>
        <v>46</v>
      </c>
      <c r="AG16" s="456">
        <f>(1/AE$17)*IF(AE$8&lt;$M$15,$Q$15,$Q$16)*AE16</f>
        <v>10780</v>
      </c>
      <c r="AH16" s="24">
        <v>0.25</v>
      </c>
      <c r="AI16" s="96">
        <f>(AH$9*AH16)-(AI$18*AH16)</f>
        <v>44</v>
      </c>
      <c r="AJ16" s="456">
        <f>(1/AH$17)*IF(AH$8&lt;$M$15,$Q$15,$Q$16)*AH16</f>
        <v>10780</v>
      </c>
      <c r="AK16" s="24">
        <v>0.25</v>
      </c>
      <c r="AL16" s="96">
        <f>(AK$9*AK16)-(AL$18*AK16)</f>
        <v>42</v>
      </c>
      <c r="AM16" s="456">
        <f>(1/AK$17)*IF(AK$8&lt;$M$15,$Q$15,$Q$16)*AK16</f>
        <v>10780</v>
      </c>
      <c r="AN16" s="24">
        <v>0.25</v>
      </c>
      <c r="AO16" s="96">
        <f>(AN$9*AN16)-(AO$18*AN16)</f>
        <v>46</v>
      </c>
      <c r="AP16" s="456">
        <f>(1/AN$17)*IF(AN$8&lt;$M$15,$Q$15,$Q$16)*AN16</f>
        <v>10780</v>
      </c>
      <c r="AQ16" s="24">
        <v>0.25</v>
      </c>
      <c r="AR16" s="96">
        <f>(AQ$9*AQ16)-(AR$18*AQ16)</f>
        <v>42</v>
      </c>
      <c r="AS16" s="456">
        <f>(1/AQ$17)*IF(AQ$8&lt;$M$15,$Q$15,$Q$16)*AQ16</f>
        <v>10780</v>
      </c>
      <c r="AT16" s="24">
        <v>0.25</v>
      </c>
      <c r="AU16" s="96">
        <f>(AT$9*AT16)-(AU$18*AT16)</f>
        <v>44</v>
      </c>
      <c r="AV16" s="456">
        <f>(1/AT$17)*IF(AT$8&lt;$M$15,$Q$15,$Q$16)*AT16</f>
        <v>10780</v>
      </c>
      <c r="AW16" s="349">
        <v>0.25</v>
      </c>
      <c r="AX16" s="353"/>
      <c r="AY16" s="461"/>
      <c r="AZ16" s="349">
        <v>0.25</v>
      </c>
      <c r="BA16" s="353"/>
      <c r="BB16" s="461"/>
      <c r="BC16" s="285">
        <f t="shared" ref="BC16:BC42" si="27">SUM(U16,X16,AA16,AD16,AG16,AJ16,AM16,AP16,AS16,AV16,AY16,BB16)</f>
        <v>107800</v>
      </c>
    </row>
    <row r="17" spans="1:55" ht="15" thickBot="1" x14ac:dyDescent="0.35">
      <c r="A17" s="540"/>
      <c r="B17" s="63" t="s">
        <v>36</v>
      </c>
      <c r="C17" s="197"/>
      <c r="D17" s="172"/>
      <c r="E17" s="69"/>
      <c r="F17" s="183"/>
      <c r="G17" s="84"/>
      <c r="H17" s="223"/>
      <c r="I17" s="223"/>
      <c r="J17" s="223"/>
      <c r="K17" s="85"/>
      <c r="L17" s="20"/>
      <c r="M17" s="22"/>
      <c r="N17" s="22"/>
      <c r="O17" s="22"/>
      <c r="P17" s="22"/>
      <c r="Q17" s="126"/>
      <c r="R17" s="104" t="s">
        <v>36</v>
      </c>
      <c r="S17" s="82">
        <f t="shared" ref="S17:BB17" si="28">SUM(S15:S16)</f>
        <v>0.3</v>
      </c>
      <c r="T17" s="105">
        <f t="shared" si="28"/>
        <v>52.8</v>
      </c>
      <c r="U17" s="83">
        <f t="shared" si="28"/>
        <v>12936</v>
      </c>
      <c r="V17" s="82">
        <f t="shared" si="28"/>
        <v>0.3</v>
      </c>
      <c r="W17" s="105">
        <f t="shared" si="28"/>
        <v>48</v>
      </c>
      <c r="X17" s="83">
        <f t="shared" si="28"/>
        <v>12936</v>
      </c>
      <c r="Y17" s="82">
        <f t="shared" si="28"/>
        <v>0.3</v>
      </c>
      <c r="Z17" s="105">
        <f t="shared" si="28"/>
        <v>55.2</v>
      </c>
      <c r="AA17" s="83">
        <f t="shared" si="28"/>
        <v>12936</v>
      </c>
      <c r="AB17" s="82">
        <f t="shared" si="28"/>
        <v>0.3</v>
      </c>
      <c r="AC17" s="105">
        <f t="shared" si="28"/>
        <v>48</v>
      </c>
      <c r="AD17" s="83">
        <f t="shared" si="28"/>
        <v>12936</v>
      </c>
      <c r="AE17" s="82">
        <f t="shared" si="28"/>
        <v>0.3</v>
      </c>
      <c r="AF17" s="105">
        <f t="shared" si="28"/>
        <v>55.2</v>
      </c>
      <c r="AG17" s="83">
        <f t="shared" si="28"/>
        <v>12936</v>
      </c>
      <c r="AH17" s="82">
        <f t="shared" si="28"/>
        <v>0.3</v>
      </c>
      <c r="AI17" s="105">
        <f t="shared" si="28"/>
        <v>52.8</v>
      </c>
      <c r="AJ17" s="83">
        <f t="shared" si="28"/>
        <v>12936</v>
      </c>
      <c r="AK17" s="82">
        <f t="shared" si="28"/>
        <v>0.3</v>
      </c>
      <c r="AL17" s="105">
        <f t="shared" si="28"/>
        <v>50.4</v>
      </c>
      <c r="AM17" s="83">
        <f t="shared" si="28"/>
        <v>12936</v>
      </c>
      <c r="AN17" s="82">
        <f t="shared" si="28"/>
        <v>0.3</v>
      </c>
      <c r="AO17" s="105">
        <f t="shared" si="28"/>
        <v>55.2</v>
      </c>
      <c r="AP17" s="83">
        <f t="shared" si="28"/>
        <v>12936</v>
      </c>
      <c r="AQ17" s="82">
        <f t="shared" si="28"/>
        <v>0.3</v>
      </c>
      <c r="AR17" s="105">
        <f t="shared" si="28"/>
        <v>50.4</v>
      </c>
      <c r="AS17" s="83">
        <f t="shared" si="28"/>
        <v>12936</v>
      </c>
      <c r="AT17" s="82">
        <f t="shared" si="28"/>
        <v>0.3</v>
      </c>
      <c r="AU17" s="105">
        <f t="shared" si="28"/>
        <v>52.8</v>
      </c>
      <c r="AV17" s="83">
        <f t="shared" si="28"/>
        <v>12936</v>
      </c>
      <c r="AW17" s="82">
        <f t="shared" si="28"/>
        <v>0.3</v>
      </c>
      <c r="AX17" s="105">
        <f t="shared" si="28"/>
        <v>8.8000000000000007</v>
      </c>
      <c r="AY17" s="83">
        <f t="shared" si="28"/>
        <v>2156</v>
      </c>
      <c r="AZ17" s="82">
        <f t="shared" si="28"/>
        <v>0.3</v>
      </c>
      <c r="BA17" s="105">
        <f t="shared" si="28"/>
        <v>8.4</v>
      </c>
      <c r="BB17" s="83">
        <f t="shared" si="28"/>
        <v>2156</v>
      </c>
      <c r="BC17" s="285">
        <f t="shared" si="27"/>
        <v>133672</v>
      </c>
    </row>
    <row r="18" spans="1:55" ht="15" thickBot="1" x14ac:dyDescent="0.35">
      <c r="A18" s="541"/>
      <c r="B18" s="340" t="s">
        <v>27</v>
      </c>
      <c r="C18" s="218"/>
      <c r="D18" s="173"/>
      <c r="E18" s="6"/>
      <c r="F18" s="184"/>
      <c r="G18" s="8"/>
      <c r="H18" s="224"/>
      <c r="I18" s="224"/>
      <c r="J18" s="224"/>
      <c r="K18" s="16"/>
      <c r="L18" s="29"/>
      <c r="M18" s="108"/>
      <c r="N18" s="108"/>
      <c r="O18" s="108"/>
      <c r="P18" s="108"/>
      <c r="Q18" s="127"/>
      <c r="R18" s="343" t="s">
        <v>27</v>
      </c>
      <c r="S18" s="25"/>
      <c r="T18" s="78">
        <f>S18*8*S17</f>
        <v>0</v>
      </c>
      <c r="U18" s="13"/>
      <c r="V18" s="25"/>
      <c r="W18" s="78">
        <f t="shared" ref="W18" si="29">V18*8*V17</f>
        <v>0</v>
      </c>
      <c r="X18" s="13"/>
      <c r="Y18" s="25"/>
      <c r="Z18" s="78">
        <f t="shared" ref="Z18" si="30">Y18*8*Y17</f>
        <v>0</v>
      </c>
      <c r="AA18" s="13"/>
      <c r="AB18" s="25"/>
      <c r="AC18" s="78">
        <f t="shared" ref="AC18" si="31">AB18*8*AB17</f>
        <v>0</v>
      </c>
      <c r="AD18" s="13"/>
      <c r="AE18" s="25"/>
      <c r="AF18" s="78">
        <f t="shared" ref="AF18" si="32">AE18*8*AE17</f>
        <v>0</v>
      </c>
      <c r="AG18" s="13"/>
      <c r="AH18" s="25"/>
      <c r="AI18" s="78">
        <f t="shared" ref="AI18" si="33">AH18*8*AH17</f>
        <v>0</v>
      </c>
      <c r="AJ18" s="13"/>
      <c r="AK18" s="25"/>
      <c r="AL18" s="78">
        <f t="shared" ref="AL18" si="34">AK18*8*AK17</f>
        <v>0</v>
      </c>
      <c r="AM18" s="13"/>
      <c r="AN18" s="25"/>
      <c r="AO18" s="78">
        <f t="shared" ref="AO18" si="35">AN18*8*AN17</f>
        <v>0</v>
      </c>
      <c r="AP18" s="13"/>
      <c r="AQ18" s="25"/>
      <c r="AR18" s="78">
        <f t="shared" ref="AR18" si="36">AQ18*8*AQ17</f>
        <v>0</v>
      </c>
      <c r="AS18" s="13"/>
      <c r="AT18" s="25"/>
      <c r="AU18" s="78">
        <f t="shared" ref="AU18" si="37">AT18*8*AT17</f>
        <v>0</v>
      </c>
      <c r="AV18" s="13"/>
      <c r="AW18" s="25"/>
      <c r="AX18" s="78">
        <f t="shared" ref="AX18" si="38">AW18*8*AW17</f>
        <v>0</v>
      </c>
      <c r="AY18" s="13"/>
      <c r="AZ18" s="25"/>
      <c r="BA18" s="78">
        <f t="shared" ref="BA18" si="39">AZ18*8*AZ17</f>
        <v>0</v>
      </c>
      <c r="BB18" s="13"/>
      <c r="BC18" s="344">
        <f>25-(S18+V18+Y18+AB18+AE18+AH18+AK18+AN18+AQ18+AT18+AW18+AZ18)</f>
        <v>25</v>
      </c>
    </row>
    <row r="19" spans="1:55" ht="15" thickBot="1" x14ac:dyDescent="0.35">
      <c r="A19" s="545" t="s">
        <v>63</v>
      </c>
      <c r="B19" s="166" t="s">
        <v>7</v>
      </c>
      <c r="C19" s="167" t="s">
        <v>58</v>
      </c>
      <c r="D19" s="174">
        <v>0</v>
      </c>
      <c r="E19" s="9"/>
      <c r="F19" s="185" t="s">
        <v>50</v>
      </c>
      <c r="G19" s="10">
        <v>44075</v>
      </c>
      <c r="H19" s="225"/>
      <c r="I19" s="225"/>
      <c r="J19" s="225"/>
      <c r="K19" s="17"/>
      <c r="L19" s="375">
        <v>44805</v>
      </c>
      <c r="M19" s="5">
        <v>45291</v>
      </c>
      <c r="N19" s="107" t="s">
        <v>92</v>
      </c>
      <c r="O19" s="22">
        <f>30666+1614</f>
        <v>32280</v>
      </c>
      <c r="P19" s="22">
        <f>7885+415</f>
        <v>8300</v>
      </c>
      <c r="Q19" s="23">
        <f>P19+O19</f>
        <v>40580</v>
      </c>
      <c r="R19" s="39" t="s">
        <v>7</v>
      </c>
      <c r="S19" s="26">
        <v>0.05</v>
      </c>
      <c r="T19" s="214">
        <f>(S$9*S19)-(T$18*S19)</f>
        <v>8.8000000000000007</v>
      </c>
      <c r="U19" s="21">
        <f>IF(S$8&lt;$M$19,$Q$19,$Q$20)*S19</f>
        <v>2029</v>
      </c>
      <c r="V19" s="26">
        <v>0.05</v>
      </c>
      <c r="W19" s="214">
        <f>(V$9*V19)-(W$18*V19)</f>
        <v>8</v>
      </c>
      <c r="X19" s="21">
        <f>IF(V$8&lt;$M$19,$Q$19,$Q$20)*V19</f>
        <v>2029</v>
      </c>
      <c r="Y19" s="26">
        <v>0.05</v>
      </c>
      <c r="Z19" s="214">
        <f>(Y$9*Y19)-(Z$18*Y19)</f>
        <v>9.2000000000000011</v>
      </c>
      <c r="AA19" s="21">
        <f>IF(Y$8&lt;$M$19,$Q$19,$Q$20)*Y19</f>
        <v>2029</v>
      </c>
      <c r="AB19" s="26">
        <v>0.05</v>
      </c>
      <c r="AC19" s="214">
        <f>(AB$9*AB19)-(AC$18*AB19)</f>
        <v>8</v>
      </c>
      <c r="AD19" s="21">
        <f>IF(AB$8&lt;$M$19,$Q$19,$Q$20)*AB19</f>
        <v>2029</v>
      </c>
      <c r="AE19" s="26">
        <v>0.05</v>
      </c>
      <c r="AF19" s="214">
        <f>(AE$9*AE19)-(AF$18*AE19)</f>
        <v>9.2000000000000011</v>
      </c>
      <c r="AG19" s="21">
        <f>IF(AE$8&lt;$M$19,$Q$19,$Q$20)*AE19</f>
        <v>2029</v>
      </c>
      <c r="AH19" s="26">
        <v>0.05</v>
      </c>
      <c r="AI19" s="214">
        <f>(AH$9*AH19)-(AI$18*AH19)</f>
        <v>8.8000000000000007</v>
      </c>
      <c r="AJ19" s="21">
        <f>IF(AH$8&lt;$M$19,$Q$19,$Q$20)*AH19</f>
        <v>2029</v>
      </c>
      <c r="AK19" s="26">
        <v>0.05</v>
      </c>
      <c r="AL19" s="214">
        <f>(AK$9*AK19)-(AL$18*AK19)</f>
        <v>8.4</v>
      </c>
      <c r="AM19" s="21">
        <f>IF(AK$8&lt;$M$19,$Q$19,$Q$20)*AK19</f>
        <v>2029</v>
      </c>
      <c r="AN19" s="26">
        <v>0.05</v>
      </c>
      <c r="AO19" s="214">
        <f>(AN$9*AN19)-(AO$18*AN19)</f>
        <v>9.2000000000000011</v>
      </c>
      <c r="AP19" s="21">
        <f>IF(AN$8&lt;$M$19,$Q$19,$Q$20)*AN19</f>
        <v>2029</v>
      </c>
      <c r="AQ19" s="26">
        <v>0.05</v>
      </c>
      <c r="AR19" s="214">
        <f>(AQ$9*AQ19)-(AR$18*AQ19)</f>
        <v>8.4</v>
      </c>
      <c r="AS19" s="21">
        <f>IF(AQ$8&lt;$M$19,$Q$19,$Q$20)*AQ19</f>
        <v>2029</v>
      </c>
      <c r="AT19" s="26">
        <v>0.05</v>
      </c>
      <c r="AU19" s="214">
        <f>(AT$9*AT19)-(AU$18*AT19)</f>
        <v>8.8000000000000007</v>
      </c>
      <c r="AV19" s="21">
        <f>IF(AT$8&lt;$M$19,$Q$19,$Q$20)*AT19</f>
        <v>2029</v>
      </c>
      <c r="AW19" s="26">
        <v>0.05</v>
      </c>
      <c r="AX19" s="214">
        <f>(AW$9*AW19)-(AX$18*AW19)</f>
        <v>8.8000000000000007</v>
      </c>
      <c r="AY19" s="21">
        <f>IF(AW$8&lt;$M$19,$Q$19,$Q$20)*AW19</f>
        <v>2029</v>
      </c>
      <c r="AZ19" s="26">
        <v>0.05</v>
      </c>
      <c r="BA19" s="214">
        <f>(AZ$9*AZ19)-(BA$18*AZ19)</f>
        <v>8.4</v>
      </c>
      <c r="BB19" s="21">
        <f>IF(AZ$8&lt;$M$19,$Q$19,$Q$20)*AZ19</f>
        <v>2029</v>
      </c>
      <c r="BC19" s="285">
        <f>SUM(U19,X19,AA19,AD19,AG19,AJ19,AM19,AP19,AS19,AV19,AY19,BB19)</f>
        <v>24348</v>
      </c>
    </row>
    <row r="20" spans="1:55" ht="15" thickBot="1" x14ac:dyDescent="0.35">
      <c r="A20" s="545"/>
      <c r="B20" s="63" t="s">
        <v>155</v>
      </c>
      <c r="C20" s="158" t="s">
        <v>58</v>
      </c>
      <c r="D20" s="171"/>
      <c r="E20" s="4"/>
      <c r="F20" s="185" t="s">
        <v>50</v>
      </c>
      <c r="G20" s="10">
        <v>44743</v>
      </c>
      <c r="H20" s="222">
        <v>45199</v>
      </c>
      <c r="I20" s="222"/>
      <c r="J20" s="222"/>
      <c r="K20" s="18"/>
      <c r="L20" s="20"/>
      <c r="M20" s="22"/>
      <c r="N20" s="107"/>
      <c r="O20" s="22"/>
      <c r="P20" s="22"/>
      <c r="Q20" s="23"/>
      <c r="R20" s="39" t="s">
        <v>155</v>
      </c>
      <c r="S20" s="24">
        <v>0.95</v>
      </c>
      <c r="T20" s="117">
        <f>(S$9*S20)-(T$27*S20)</f>
        <v>158.83999999999997</v>
      </c>
      <c r="U20" s="21">
        <f>IF(S$8&lt;$M$19,$Q$19,$Q$20)*S20</f>
        <v>38551</v>
      </c>
      <c r="V20" s="24">
        <v>0.95</v>
      </c>
      <c r="W20" s="117">
        <f>(V$9*V20)-(W$27*V20)</f>
        <v>144.4</v>
      </c>
      <c r="X20" s="21">
        <f>IF(V$8&lt;$M$19,$Q$19,$Q$20)*V20</f>
        <v>38551</v>
      </c>
      <c r="Y20" s="24">
        <v>0.95</v>
      </c>
      <c r="Z20" s="117">
        <f>(Y$9*Y20)-(Z$27*Y20)</f>
        <v>166.05999999999997</v>
      </c>
      <c r="AA20" s="21">
        <f>IF(Y$8&lt;$M$19,$Q$19,$Q$20)*Y20</f>
        <v>38551</v>
      </c>
      <c r="AB20" s="24">
        <v>0.95</v>
      </c>
      <c r="AC20" s="117">
        <f>(AB$9*AB20)-(AC$27*AB20)</f>
        <v>144.4</v>
      </c>
      <c r="AD20" s="21">
        <f>IF(AB$8&lt;$M$19,$Q$19,$Q$20)*AB20</f>
        <v>38551</v>
      </c>
      <c r="AE20" s="24">
        <v>0.95</v>
      </c>
      <c r="AF20" s="117">
        <f>(AE$9*AE20)-(AF$27*AE20)</f>
        <v>166.05999999999997</v>
      </c>
      <c r="AG20" s="21">
        <f>IF(AE$8&lt;$M$19,$Q$19,$Q$20)*AE20</f>
        <v>38551</v>
      </c>
      <c r="AH20" s="24">
        <v>0.95</v>
      </c>
      <c r="AI20" s="117">
        <f>(AH$9*AH20)-(AI$27*AH20)</f>
        <v>158.83999999999997</v>
      </c>
      <c r="AJ20" s="21">
        <f>IF(AH$8&lt;$M$19,$Q$19,$Q$20)*AH20</f>
        <v>38551</v>
      </c>
      <c r="AK20" s="24">
        <v>0.95</v>
      </c>
      <c r="AL20" s="117">
        <f>(AK$9*AK20)-(AL$27*AK20)</f>
        <v>151.62</v>
      </c>
      <c r="AM20" s="21">
        <f>IF(AK$8&lt;$M$19,$Q$19,$Q$20)*AK20</f>
        <v>38551</v>
      </c>
      <c r="AN20" s="24">
        <v>0.95</v>
      </c>
      <c r="AO20" s="117">
        <f>(AN$9*AN20)-(AO$27*AN20)</f>
        <v>166.05999999999997</v>
      </c>
      <c r="AP20" s="21">
        <f>IF(AN$8&lt;$M$19,$Q$19,$Q$20)*AN20</f>
        <v>38551</v>
      </c>
      <c r="AQ20" s="24">
        <v>0.95</v>
      </c>
      <c r="AR20" s="117">
        <f>(AQ$9*AQ20)-(AR$27*AQ20)</f>
        <v>151.62</v>
      </c>
      <c r="AS20" s="21">
        <f>IF(AQ$8&lt;$M$19,$Q$19,$Q$20)*AQ20</f>
        <v>38551</v>
      </c>
      <c r="AT20" s="349">
        <v>0.95</v>
      </c>
      <c r="AU20" s="350"/>
      <c r="AV20" s="351"/>
      <c r="AW20" s="349">
        <v>0.95</v>
      </c>
      <c r="AX20" s="350"/>
      <c r="AY20" s="351"/>
      <c r="AZ20" s="349">
        <v>0.95</v>
      </c>
      <c r="BA20" s="350"/>
      <c r="BB20" s="351"/>
      <c r="BC20" s="285">
        <f t="shared" si="27"/>
        <v>346959</v>
      </c>
    </row>
    <row r="21" spans="1:55" ht="15" thickBot="1" x14ac:dyDescent="0.35">
      <c r="A21" s="545"/>
      <c r="B21" s="63" t="s">
        <v>36</v>
      </c>
      <c r="C21" s="156"/>
      <c r="D21" s="171"/>
      <c r="E21" s="4"/>
      <c r="F21" s="182"/>
      <c r="G21" s="5"/>
      <c r="H21" s="222"/>
      <c r="I21" s="222"/>
      <c r="J21" s="222"/>
      <c r="K21" s="18"/>
      <c r="L21" s="20"/>
      <c r="M21" s="22"/>
      <c r="N21" s="107"/>
      <c r="O21" s="22"/>
      <c r="P21" s="22"/>
      <c r="Q21" s="23"/>
      <c r="R21" s="39" t="s">
        <v>36</v>
      </c>
      <c r="S21" s="27">
        <f t="shared" ref="S21:AJ21" si="40">SUM(S19:S20)</f>
        <v>1</v>
      </c>
      <c r="T21" s="77">
        <f t="shared" si="40"/>
        <v>167.64</v>
      </c>
      <c r="U21" s="28">
        <f t="shared" si="40"/>
        <v>40580</v>
      </c>
      <c r="V21" s="27">
        <f t="shared" si="40"/>
        <v>1</v>
      </c>
      <c r="W21" s="77">
        <f t="shared" si="40"/>
        <v>152.4</v>
      </c>
      <c r="X21" s="28">
        <f t="shared" si="40"/>
        <v>40580</v>
      </c>
      <c r="Y21" s="27">
        <f t="shared" si="40"/>
        <v>1</v>
      </c>
      <c r="Z21" s="77">
        <f t="shared" si="40"/>
        <v>175.25999999999996</v>
      </c>
      <c r="AA21" s="28">
        <f t="shared" si="40"/>
        <v>40580</v>
      </c>
      <c r="AB21" s="27">
        <f t="shared" si="40"/>
        <v>1</v>
      </c>
      <c r="AC21" s="77">
        <f t="shared" si="40"/>
        <v>152.4</v>
      </c>
      <c r="AD21" s="28">
        <f t="shared" si="40"/>
        <v>40580</v>
      </c>
      <c r="AE21" s="27">
        <f t="shared" si="40"/>
        <v>1</v>
      </c>
      <c r="AF21" s="77">
        <f t="shared" si="40"/>
        <v>175.25999999999996</v>
      </c>
      <c r="AG21" s="28">
        <f t="shared" si="40"/>
        <v>40580</v>
      </c>
      <c r="AH21" s="27">
        <f t="shared" si="40"/>
        <v>1</v>
      </c>
      <c r="AI21" s="77">
        <f t="shared" si="40"/>
        <v>167.64</v>
      </c>
      <c r="AJ21" s="28">
        <f t="shared" si="40"/>
        <v>40580</v>
      </c>
      <c r="AK21" s="27">
        <f t="shared" ref="AK21:BB21" si="41">SUM(AK19:AK20)</f>
        <v>1</v>
      </c>
      <c r="AL21" s="77">
        <f t="shared" si="41"/>
        <v>160.02000000000001</v>
      </c>
      <c r="AM21" s="28">
        <f t="shared" si="41"/>
        <v>40580</v>
      </c>
      <c r="AN21" s="27">
        <f t="shared" si="41"/>
        <v>1</v>
      </c>
      <c r="AO21" s="77">
        <f t="shared" si="41"/>
        <v>175.25999999999996</v>
      </c>
      <c r="AP21" s="28">
        <f t="shared" si="41"/>
        <v>40580</v>
      </c>
      <c r="AQ21" s="27">
        <f t="shared" si="41"/>
        <v>1</v>
      </c>
      <c r="AR21" s="77">
        <f t="shared" si="41"/>
        <v>160.02000000000001</v>
      </c>
      <c r="AS21" s="28">
        <f t="shared" si="41"/>
        <v>40580</v>
      </c>
      <c r="AT21" s="27">
        <f t="shared" si="41"/>
        <v>1</v>
      </c>
      <c r="AU21" s="77">
        <f t="shared" si="41"/>
        <v>8.8000000000000007</v>
      </c>
      <c r="AV21" s="28">
        <f t="shared" si="41"/>
        <v>2029</v>
      </c>
      <c r="AW21" s="27">
        <f t="shared" si="41"/>
        <v>1</v>
      </c>
      <c r="AX21" s="77">
        <f t="shared" si="41"/>
        <v>8.8000000000000007</v>
      </c>
      <c r="AY21" s="28">
        <f t="shared" si="41"/>
        <v>2029</v>
      </c>
      <c r="AZ21" s="27">
        <f t="shared" si="41"/>
        <v>1</v>
      </c>
      <c r="BA21" s="77">
        <f t="shared" si="41"/>
        <v>8.4</v>
      </c>
      <c r="BB21" s="28">
        <f t="shared" si="41"/>
        <v>2029</v>
      </c>
      <c r="BC21" s="285">
        <f t="shared" si="27"/>
        <v>371307</v>
      </c>
    </row>
    <row r="22" spans="1:55" ht="15" thickBot="1" x14ac:dyDescent="0.35">
      <c r="A22" s="546"/>
      <c r="B22" s="340" t="s">
        <v>27</v>
      </c>
      <c r="C22" s="157"/>
      <c r="D22" s="173"/>
      <c r="E22" s="6"/>
      <c r="F22" s="184"/>
      <c r="G22" s="8"/>
      <c r="H22" s="224"/>
      <c r="I22" s="224"/>
      <c r="J22" s="224"/>
      <c r="K22" s="16"/>
      <c r="L22" s="29"/>
      <c r="M22" s="108"/>
      <c r="N22" s="111"/>
      <c r="O22" s="108"/>
      <c r="P22" s="108"/>
      <c r="Q22" s="99"/>
      <c r="R22" s="342" t="s">
        <v>27</v>
      </c>
      <c r="S22" s="25"/>
      <c r="T22" s="78">
        <f t="shared" ref="T22" si="42">S22*8*S21</f>
        <v>0</v>
      </c>
      <c r="U22" s="13"/>
      <c r="V22" s="25"/>
      <c r="W22" s="78">
        <f t="shared" ref="W22" si="43">V22*8*V21</f>
        <v>0</v>
      </c>
      <c r="X22" s="13"/>
      <c r="Y22" s="25"/>
      <c r="Z22" s="78">
        <f t="shared" ref="Z22" si="44">Y22*8*Y21</f>
        <v>0</v>
      </c>
      <c r="AA22" s="13"/>
      <c r="AB22" s="25"/>
      <c r="AC22" s="78">
        <f t="shared" ref="AC22" si="45">AB22*8*AB21</f>
        <v>0</v>
      </c>
      <c r="AD22" s="13"/>
      <c r="AE22" s="25"/>
      <c r="AF22" s="78">
        <f t="shared" ref="AF22" si="46">AE22*8*AE21</f>
        <v>0</v>
      </c>
      <c r="AG22" s="13"/>
      <c r="AH22" s="25"/>
      <c r="AI22" s="78">
        <f t="shared" ref="AI22" si="47">AH22*8*AH21</f>
        <v>0</v>
      </c>
      <c r="AJ22" s="13"/>
      <c r="AK22" s="25"/>
      <c r="AL22" s="78">
        <f t="shared" ref="AL22" si="48">AK22*8*AK21</f>
        <v>0</v>
      </c>
      <c r="AM22" s="13"/>
      <c r="AN22" s="25"/>
      <c r="AO22" s="78">
        <f t="shared" ref="AO22" si="49">AN22*8*AN21</f>
        <v>0</v>
      </c>
      <c r="AP22" s="13"/>
      <c r="AQ22" s="25"/>
      <c r="AR22" s="78">
        <f t="shared" ref="AR22" si="50">AQ22*8*AQ21</f>
        <v>0</v>
      </c>
      <c r="AS22" s="13"/>
      <c r="AT22" s="25"/>
      <c r="AU22" s="78">
        <f t="shared" ref="AU22" si="51">AT22*8*AT21</f>
        <v>0</v>
      </c>
      <c r="AV22" s="13"/>
      <c r="AW22" s="25"/>
      <c r="AX22" s="78">
        <f t="shared" ref="AX22" si="52">AW22*8*AW21</f>
        <v>0</v>
      </c>
      <c r="AY22" s="13"/>
      <c r="AZ22" s="25"/>
      <c r="BA22" s="78">
        <f t="shared" ref="BA22" si="53">AZ22*8*AZ21</f>
        <v>0</v>
      </c>
      <c r="BB22" s="13"/>
      <c r="BC22" s="344">
        <f>25-(S22+V22+Y22+AB22+AE22+AH22+AK22+AN22+AQ22+AT22+AW22+AZ22)</f>
        <v>25</v>
      </c>
    </row>
    <row r="23" spans="1:55" ht="15" thickBot="1" x14ac:dyDescent="0.35">
      <c r="A23" s="574" t="s">
        <v>193</v>
      </c>
      <c r="B23" s="62" t="s">
        <v>7</v>
      </c>
      <c r="C23" s="509" t="s">
        <v>58</v>
      </c>
      <c r="D23" s="170">
        <v>0</v>
      </c>
      <c r="E23" s="131" t="s">
        <v>3</v>
      </c>
      <c r="F23" s="181" t="s">
        <v>50</v>
      </c>
      <c r="G23" s="132">
        <v>44866</v>
      </c>
      <c r="H23" s="132"/>
      <c r="I23" s="132"/>
      <c r="J23" s="132"/>
      <c r="K23" s="130" t="s">
        <v>93</v>
      </c>
      <c r="L23" s="519">
        <v>44866</v>
      </c>
      <c r="M23" s="132">
        <v>45291</v>
      </c>
      <c r="N23" s="520" t="s">
        <v>194</v>
      </c>
      <c r="O23" s="327"/>
      <c r="P23" s="327"/>
      <c r="Q23" s="328">
        <v>28000</v>
      </c>
      <c r="R23" s="38" t="s">
        <v>7</v>
      </c>
      <c r="S23" s="532">
        <v>0.05</v>
      </c>
      <c r="T23" s="527">
        <f>(S$9*S23)-(T$19*S23)</f>
        <v>8.3600000000000012</v>
      </c>
      <c r="U23" s="528">
        <f>(1/S$25)*IF(S$8&lt;$M$23,$Q$23,#REF!)*S23</f>
        <v>1400</v>
      </c>
      <c r="V23" s="532">
        <v>0.05</v>
      </c>
      <c r="W23" s="527">
        <f>(V$9*V23)-(W$19*V23)</f>
        <v>7.6</v>
      </c>
      <c r="X23" s="528">
        <f>(1/V$25)*IF(V$8&lt;$M$23,$Q$23,#REF!)*V23</f>
        <v>1400</v>
      </c>
      <c r="Y23" s="532">
        <v>0.05</v>
      </c>
      <c r="Z23" s="527">
        <f>(Y$9*Y23)-(Z$19*Y23)</f>
        <v>8.74</v>
      </c>
      <c r="AA23" s="528">
        <f>(1/Y$25)*IF(Y$8&lt;$M$23,$Q$23,#REF!)*Y23</f>
        <v>1400</v>
      </c>
      <c r="AB23" s="532">
        <v>0.05</v>
      </c>
      <c r="AC23" s="527">
        <f>(AB$9*AB23)-(AC$19*AB23)</f>
        <v>7.6</v>
      </c>
      <c r="AD23" s="528">
        <f>(1/AB$25)*IF(AB$8&lt;$M$23,$Q$23,#REF!)*AB23</f>
        <v>1400</v>
      </c>
      <c r="AE23" s="532">
        <v>0.05</v>
      </c>
      <c r="AF23" s="527">
        <f>(AE$9*AE23)-(AF$19*AE23)</f>
        <v>8.74</v>
      </c>
      <c r="AG23" s="528">
        <f>(1/AE$25)*IF(AE$8&lt;$M$23,$Q$23,#REF!)*AE23</f>
        <v>1400</v>
      </c>
      <c r="AH23" s="532">
        <v>0.05</v>
      </c>
      <c r="AI23" s="527">
        <f>(AH$9*AH23)-(AI$19*AH23)</f>
        <v>8.3600000000000012</v>
      </c>
      <c r="AJ23" s="528">
        <f>(1/AH$25)*IF(AH$8&lt;$M$23,$Q$23,#REF!)*AH23</f>
        <v>1400</v>
      </c>
      <c r="AK23" s="532">
        <v>0.05</v>
      </c>
      <c r="AL23" s="527">
        <f>(AK$9*AK23)-(AL$19*AK23)</f>
        <v>7.98</v>
      </c>
      <c r="AM23" s="528">
        <f>(1/AK$25)*IF(AK$8&lt;$M$23,$Q$23,#REF!)*AK23</f>
        <v>1400</v>
      </c>
      <c r="AN23" s="532">
        <v>0.05</v>
      </c>
      <c r="AO23" s="527">
        <f>(AN$9*AN23)-(AO$19*AN23)</f>
        <v>8.74</v>
      </c>
      <c r="AP23" s="528">
        <f>(1/AN$25)*IF(AN$8&lt;$M$23,$Q$23,#REF!)*AN23</f>
        <v>1400</v>
      </c>
      <c r="AQ23" s="532">
        <v>0.05</v>
      </c>
      <c r="AR23" s="527">
        <f>(AQ$9*AQ23)-(AR$19*AQ23)</f>
        <v>7.98</v>
      </c>
      <c r="AS23" s="528">
        <f>(1/AQ$25)*IF(AQ$8&lt;$M$23,$Q$23,#REF!)*AQ23</f>
        <v>1400</v>
      </c>
      <c r="AT23" s="532">
        <v>0.05</v>
      </c>
      <c r="AU23" s="527">
        <f>(AT$9*AT23)-(AU$19*AT23)</f>
        <v>8.3600000000000012</v>
      </c>
      <c r="AV23" s="528">
        <f>(1/AT$25)*IF(AT$8&lt;$M$23,$Q$23,#REF!)*AT23</f>
        <v>1400</v>
      </c>
      <c r="AW23" s="118">
        <v>0.05</v>
      </c>
      <c r="AX23" s="212">
        <f>(AW$9*AW23)-(AX$19*AW23)</f>
        <v>8.3600000000000012</v>
      </c>
      <c r="AY23" s="455">
        <f>(1/AW$25)*IF(AW$8&lt;$M$23,$Q$23,#REF!)*AW23</f>
        <v>1400</v>
      </c>
      <c r="AZ23" s="118">
        <v>0.05</v>
      </c>
      <c r="BA23" s="212">
        <f>(AZ$9*AZ23)-(BA$19*AZ23)</f>
        <v>7.98</v>
      </c>
      <c r="BB23" s="455">
        <f>(1/AZ$25)*IF(AZ$8&lt;$M$23,$Q$23,#REF!)*AZ23</f>
        <v>1400</v>
      </c>
      <c r="BC23" s="285">
        <f>SUM(U23,X23,AA23,AD23,AG23,AJ23,AM23,AP23,AS23,AV23,AY23,BB23)</f>
        <v>16800</v>
      </c>
    </row>
    <row r="24" spans="1:55" ht="15" thickBot="1" x14ac:dyDescent="0.35">
      <c r="A24" s="572"/>
      <c r="B24" s="63" t="s">
        <v>6</v>
      </c>
      <c r="C24" s="507" t="s">
        <v>58</v>
      </c>
      <c r="D24" s="171"/>
      <c r="E24" s="4"/>
      <c r="F24" s="182" t="s">
        <v>50</v>
      </c>
      <c r="G24" s="5">
        <v>44866</v>
      </c>
      <c r="H24" s="168">
        <v>44926</v>
      </c>
      <c r="I24" s="5"/>
      <c r="J24" s="5"/>
      <c r="K24" s="18"/>
      <c r="L24" s="115"/>
      <c r="M24" s="114"/>
      <c r="N24" s="122"/>
      <c r="O24" s="114"/>
      <c r="P24" s="114"/>
      <c r="Q24" s="103"/>
      <c r="R24" s="39" t="s">
        <v>6</v>
      </c>
      <c r="S24" s="24">
        <v>0.95</v>
      </c>
      <c r="T24" s="117">
        <f>(S$9*S24)-(T$19*S24)</f>
        <v>158.83999999999997</v>
      </c>
      <c r="U24" s="456">
        <f>(1/S$25)*IF(S$8&lt;$M$23,$Q$23,#REF!)*S24</f>
        <v>26600</v>
      </c>
      <c r="V24" s="24">
        <v>0.95</v>
      </c>
      <c r="W24" s="117">
        <f>(V$9*V24)-(W$19*V24)</f>
        <v>144.4</v>
      </c>
      <c r="X24" s="456">
        <f>(1/V$25)*IF(V$8&lt;$M$23,$Q$23,#REF!)*V24</f>
        <v>26600</v>
      </c>
      <c r="Y24" s="24">
        <v>0.95</v>
      </c>
      <c r="Z24" s="117">
        <f>(Y$9*Y24)-(Z$19*Y24)</f>
        <v>166.05999999999997</v>
      </c>
      <c r="AA24" s="456">
        <f>(1/Y$25)*IF(Y$8&lt;$M$23,$Q$23,#REF!)*Y24</f>
        <v>26600</v>
      </c>
      <c r="AB24" s="24">
        <v>0.95</v>
      </c>
      <c r="AC24" s="117">
        <f>(AB$9*AB24)-(AC$19*AB24)</f>
        <v>144.4</v>
      </c>
      <c r="AD24" s="456">
        <f>(1/AB$25)*IF(AB$8&lt;$M$23,$Q$23,#REF!)*AB24</f>
        <v>26600</v>
      </c>
      <c r="AE24" s="24">
        <v>0.95</v>
      </c>
      <c r="AF24" s="117">
        <f>(AE$9*AE24)-(AF$19*AE24)</f>
        <v>166.05999999999997</v>
      </c>
      <c r="AG24" s="456">
        <f>(1/AE$25)*IF(AE$8&lt;$M$23,$Q$23,#REF!)*AE24</f>
        <v>26600</v>
      </c>
      <c r="AH24" s="24">
        <v>0.95</v>
      </c>
      <c r="AI24" s="117">
        <f>(AH$9*AH24)-(AI$19*AH24)</f>
        <v>158.83999999999997</v>
      </c>
      <c r="AJ24" s="456">
        <f>(1/AH$25)*IF(AH$8&lt;$M$23,$Q$23,#REF!)*AH24</f>
        <v>26600</v>
      </c>
      <c r="AK24" s="24">
        <v>0.95</v>
      </c>
      <c r="AL24" s="117">
        <f>(AK$9*AK24)-(AL$19*AK24)</f>
        <v>151.62</v>
      </c>
      <c r="AM24" s="456">
        <f>(1/AK$25)*IF(AK$8&lt;$M$23,$Q$23,#REF!)*AK24</f>
        <v>26600</v>
      </c>
      <c r="AN24" s="24">
        <v>0.95</v>
      </c>
      <c r="AO24" s="117">
        <f>(AN$9*AN24)-(AO$19*AN24)</f>
        <v>166.05999999999997</v>
      </c>
      <c r="AP24" s="456">
        <f>(1/AN$25)*IF(AN$8&lt;$M$23,$Q$23,#REF!)*AN24</f>
        <v>26600</v>
      </c>
      <c r="AQ24" s="24">
        <v>0.95</v>
      </c>
      <c r="AR24" s="117">
        <f>(AQ$9*AQ24)-(AR$19*AQ24)</f>
        <v>151.62</v>
      </c>
      <c r="AS24" s="456">
        <f>(1/AQ$25)*IF(AQ$8&lt;$M$23,$Q$23,#REF!)*AQ24</f>
        <v>26600</v>
      </c>
      <c r="AT24" s="24">
        <v>0.95</v>
      </c>
      <c r="AU24" s="117">
        <f>(AT$9*AT24)-(AU$19*AT24)</f>
        <v>158.83999999999997</v>
      </c>
      <c r="AV24" s="456">
        <f>(1/AT$25)*IF(AT$8&lt;$M$23,$Q$23,#REF!)*AT24</f>
        <v>26600</v>
      </c>
      <c r="AW24" s="349">
        <v>0.95</v>
      </c>
      <c r="AX24" s="350"/>
      <c r="AY24" s="521"/>
      <c r="AZ24" s="349">
        <v>0.95</v>
      </c>
      <c r="BA24" s="350"/>
      <c r="BB24" s="521"/>
      <c r="BC24" s="285">
        <f>SUM(U24,X24,AA24,AD24,AG24,AJ24,AM24,AP24,AS24,AV24,AY24,BB24)</f>
        <v>266000</v>
      </c>
    </row>
    <row r="25" spans="1:55" ht="15" thickBot="1" x14ac:dyDescent="0.35">
      <c r="A25" s="572"/>
      <c r="B25" s="63" t="s">
        <v>36</v>
      </c>
      <c r="C25" s="510"/>
      <c r="D25" s="171"/>
      <c r="E25" s="4"/>
      <c r="F25" s="182"/>
      <c r="G25" s="5"/>
      <c r="H25" s="5"/>
      <c r="I25" s="5"/>
      <c r="J25" s="5"/>
      <c r="K25" s="18"/>
      <c r="L25" s="115"/>
      <c r="M25" s="114"/>
      <c r="N25" s="122"/>
      <c r="O25" s="114"/>
      <c r="P25" s="114"/>
      <c r="Q25" s="103"/>
      <c r="R25" s="39" t="s">
        <v>36</v>
      </c>
      <c r="S25" s="27">
        <f t="shared" ref="S25:U25" si="54">SUM(S23:S24)</f>
        <v>1</v>
      </c>
      <c r="T25" s="77">
        <f t="shared" si="54"/>
        <v>167.2</v>
      </c>
      <c r="U25" s="28">
        <f t="shared" si="54"/>
        <v>28000</v>
      </c>
      <c r="V25" s="27">
        <f t="shared" ref="V25:AV25" si="55">SUM(V23:V24)</f>
        <v>1</v>
      </c>
      <c r="W25" s="77">
        <f t="shared" si="55"/>
        <v>152</v>
      </c>
      <c r="X25" s="28">
        <f t="shared" si="55"/>
        <v>28000</v>
      </c>
      <c r="Y25" s="27">
        <f t="shared" si="55"/>
        <v>1</v>
      </c>
      <c r="Z25" s="77">
        <f t="shared" si="55"/>
        <v>174.79999999999998</v>
      </c>
      <c r="AA25" s="28">
        <f t="shared" si="55"/>
        <v>28000</v>
      </c>
      <c r="AB25" s="27">
        <f t="shared" si="55"/>
        <v>1</v>
      </c>
      <c r="AC25" s="77">
        <f t="shared" si="55"/>
        <v>152</v>
      </c>
      <c r="AD25" s="28">
        <f t="shared" si="55"/>
        <v>28000</v>
      </c>
      <c r="AE25" s="27">
        <f t="shared" si="55"/>
        <v>1</v>
      </c>
      <c r="AF25" s="77">
        <f t="shared" si="55"/>
        <v>174.79999999999998</v>
      </c>
      <c r="AG25" s="28">
        <f t="shared" si="55"/>
        <v>28000</v>
      </c>
      <c r="AH25" s="27">
        <f t="shared" si="55"/>
        <v>1</v>
      </c>
      <c r="AI25" s="77">
        <f t="shared" si="55"/>
        <v>167.2</v>
      </c>
      <c r="AJ25" s="28">
        <f t="shared" si="55"/>
        <v>28000</v>
      </c>
      <c r="AK25" s="27">
        <f t="shared" si="55"/>
        <v>1</v>
      </c>
      <c r="AL25" s="77">
        <f t="shared" si="55"/>
        <v>159.6</v>
      </c>
      <c r="AM25" s="28">
        <f t="shared" si="55"/>
        <v>28000</v>
      </c>
      <c r="AN25" s="27">
        <f t="shared" si="55"/>
        <v>1</v>
      </c>
      <c r="AO25" s="77">
        <f t="shared" si="55"/>
        <v>174.79999999999998</v>
      </c>
      <c r="AP25" s="28">
        <f t="shared" si="55"/>
        <v>28000</v>
      </c>
      <c r="AQ25" s="27">
        <f t="shared" si="55"/>
        <v>1</v>
      </c>
      <c r="AR25" s="77">
        <f t="shared" si="55"/>
        <v>159.6</v>
      </c>
      <c r="AS25" s="28">
        <f t="shared" si="55"/>
        <v>28000</v>
      </c>
      <c r="AT25" s="27">
        <f t="shared" si="55"/>
        <v>1</v>
      </c>
      <c r="AU25" s="77">
        <f t="shared" si="55"/>
        <v>167.2</v>
      </c>
      <c r="AV25" s="28">
        <f t="shared" si="55"/>
        <v>28000</v>
      </c>
      <c r="AW25" s="27">
        <f t="shared" ref="AW25:BB25" si="56">SUM(AW23:AW24)</f>
        <v>1</v>
      </c>
      <c r="AX25" s="77">
        <f t="shared" si="56"/>
        <v>8.3600000000000012</v>
      </c>
      <c r="AY25" s="28">
        <f t="shared" si="56"/>
        <v>1400</v>
      </c>
      <c r="AZ25" s="27">
        <f t="shared" si="56"/>
        <v>1</v>
      </c>
      <c r="BA25" s="77">
        <f t="shared" si="56"/>
        <v>7.98</v>
      </c>
      <c r="BB25" s="28">
        <f t="shared" si="56"/>
        <v>1400</v>
      </c>
      <c r="BC25" s="285">
        <f>SUM(U25,X25,AA25,AD25,AG25,AJ25,AM25,AP25,AS25,AV25,AY25,BB25)</f>
        <v>282800</v>
      </c>
    </row>
    <row r="26" spans="1:55" ht="15" thickBot="1" x14ac:dyDescent="0.35">
      <c r="A26" s="573"/>
      <c r="B26" s="340" t="s">
        <v>27</v>
      </c>
      <c r="C26" s="511"/>
      <c r="D26" s="173"/>
      <c r="E26" s="6"/>
      <c r="F26" s="184"/>
      <c r="G26" s="8"/>
      <c r="H26" s="8"/>
      <c r="I26" s="8"/>
      <c r="J26" s="8"/>
      <c r="K26" s="16"/>
      <c r="L26" s="29"/>
      <c r="M26" s="108"/>
      <c r="N26" s="111"/>
      <c r="O26" s="108"/>
      <c r="P26" s="108"/>
      <c r="Q26" s="99"/>
      <c r="R26" s="386" t="s">
        <v>27</v>
      </c>
      <c r="S26" s="25"/>
      <c r="T26" s="78">
        <f t="shared" ref="T26" si="57">S26*8*S25</f>
        <v>0</v>
      </c>
      <c r="U26" s="13"/>
      <c r="V26" s="25"/>
      <c r="W26" s="78">
        <f t="shared" ref="W26" si="58">V26*8*V25</f>
        <v>0</v>
      </c>
      <c r="X26" s="13"/>
      <c r="Y26" s="25"/>
      <c r="Z26" s="78">
        <f t="shared" ref="Z26" si="59">Y26*8*Y25</f>
        <v>0</v>
      </c>
      <c r="AA26" s="13"/>
      <c r="AB26" s="25"/>
      <c r="AC26" s="78">
        <f t="shared" ref="AC26" si="60">AB26*8*AB25</f>
        <v>0</v>
      </c>
      <c r="AD26" s="13"/>
      <c r="AE26" s="25"/>
      <c r="AF26" s="78">
        <f t="shared" ref="AF26" si="61">AE26*8*AE25</f>
        <v>0</v>
      </c>
      <c r="AG26" s="13"/>
      <c r="AH26" s="25"/>
      <c r="AI26" s="78">
        <f t="shared" ref="AI26" si="62">AH26*8*AH25</f>
        <v>0</v>
      </c>
      <c r="AJ26" s="13"/>
      <c r="AK26" s="25"/>
      <c r="AL26" s="78">
        <f t="shared" ref="AL26" si="63">AK26*8*AK25</f>
        <v>0</v>
      </c>
      <c r="AM26" s="13"/>
      <c r="AN26" s="25"/>
      <c r="AO26" s="78">
        <f t="shared" ref="AO26" si="64">AN26*8*AN25</f>
        <v>0</v>
      </c>
      <c r="AP26" s="13"/>
      <c r="AQ26" s="25"/>
      <c r="AR26" s="78">
        <f t="shared" ref="AR26" si="65">AQ26*8*AQ25</f>
        <v>0</v>
      </c>
      <c r="AS26" s="13"/>
      <c r="AT26" s="25"/>
      <c r="AU26" s="78">
        <f t="shared" ref="AU26" si="66">AT26*8*AT25</f>
        <v>0</v>
      </c>
      <c r="AV26" s="13"/>
      <c r="AW26" s="25"/>
      <c r="AX26" s="78">
        <f t="shared" ref="AX26" si="67">AW26*8*AW25</f>
        <v>0</v>
      </c>
      <c r="AY26" s="13"/>
      <c r="AZ26" s="25"/>
      <c r="BA26" s="78">
        <f t="shared" ref="BA26" si="68">AZ26*8*AZ25</f>
        <v>0</v>
      </c>
      <c r="BB26" s="13"/>
      <c r="BC26" s="344">
        <f>25-(S26+V26+Y26+AB26+AE26+AH26+AK26+AN26+AQ26+AT26+AW26+AZ26)</f>
        <v>25</v>
      </c>
    </row>
    <row r="27" spans="1:55" ht="15" thickBot="1" x14ac:dyDescent="0.35">
      <c r="A27" s="574" t="s">
        <v>64</v>
      </c>
      <c r="B27" s="63" t="s">
        <v>7</v>
      </c>
      <c r="C27" s="158" t="s">
        <v>58</v>
      </c>
      <c r="D27" s="174">
        <v>0.4</v>
      </c>
      <c r="E27" s="9" t="s">
        <v>2</v>
      </c>
      <c r="F27" s="186" t="s">
        <v>50</v>
      </c>
      <c r="G27" s="10">
        <v>42522</v>
      </c>
      <c r="H27" s="225"/>
      <c r="I27" s="225"/>
      <c r="J27" s="225"/>
      <c r="K27" s="17"/>
      <c r="L27" s="375">
        <v>44805</v>
      </c>
      <c r="M27" s="10">
        <v>45291</v>
      </c>
      <c r="N27" s="376" t="s">
        <v>48</v>
      </c>
      <c r="O27" s="98">
        <f>1623+22715</f>
        <v>24338</v>
      </c>
      <c r="P27" s="98">
        <f>428+5985</f>
        <v>6413</v>
      </c>
      <c r="Q27" s="137">
        <f>P27+O27</f>
        <v>30751</v>
      </c>
      <c r="R27" s="63" t="s">
        <v>7</v>
      </c>
      <c r="S27" s="26">
        <v>0.05</v>
      </c>
      <c r="T27" s="214">
        <f>(S$9*S27)-(T$18*S27)</f>
        <v>8.8000000000000007</v>
      </c>
      <c r="U27" s="522">
        <f>(1/S$29)*IF(S$8&lt;$M$27,$Q$27,#REF!)*S27</f>
        <v>2050.0666666666666</v>
      </c>
      <c r="V27" s="26">
        <v>0.05</v>
      </c>
      <c r="W27" s="214">
        <f>(V$9*V27)-(W$18*V27)</f>
        <v>8</v>
      </c>
      <c r="X27" s="522">
        <f>(1/V$29)*IF(V$8&lt;$M$27,$Q$27,#REF!)*V27</f>
        <v>2050.0666666666666</v>
      </c>
      <c r="Y27" s="26">
        <v>0.05</v>
      </c>
      <c r="Z27" s="214">
        <f>(Y$9*Y27)-(Z$18*Y27)</f>
        <v>9.2000000000000011</v>
      </c>
      <c r="AA27" s="522">
        <f>(1/Y$29)*IF(Y$8&lt;$M$27,$Q$27,#REF!)*Y27</f>
        <v>2050.0666666666666</v>
      </c>
      <c r="AB27" s="26">
        <v>0.05</v>
      </c>
      <c r="AC27" s="214">
        <f>(AB$9*AB27)-(AC$18*AB27)</f>
        <v>8</v>
      </c>
      <c r="AD27" s="522">
        <f>(1/AB$29)*IF(AB$8&lt;$M$27,$Q$27,#REF!)*AB27</f>
        <v>2050.0666666666666</v>
      </c>
      <c r="AE27" s="26">
        <v>0.05</v>
      </c>
      <c r="AF27" s="214">
        <f>(AE$9*AE27)-(AF$18*AE27)</f>
        <v>9.2000000000000011</v>
      </c>
      <c r="AG27" s="522">
        <f>(1/AE$29)*IF(AE$8&lt;$M$27,$Q$27,#REF!)*AE27</f>
        <v>2050.0666666666666</v>
      </c>
      <c r="AH27" s="26">
        <v>0.05</v>
      </c>
      <c r="AI27" s="214">
        <f>(AH$9*AH27)-(AI$18*AH27)</f>
        <v>8.8000000000000007</v>
      </c>
      <c r="AJ27" s="522">
        <f>(1/AH$29)*IF(AH$8&lt;$M$27,$Q$27,#REF!)*AH27</f>
        <v>2050.0666666666666</v>
      </c>
      <c r="AK27" s="26">
        <v>0.05</v>
      </c>
      <c r="AL27" s="214">
        <f>(AK$9*AK27)-(AL$18*AK27)</f>
        <v>8.4</v>
      </c>
      <c r="AM27" s="522">
        <f>(1/AK$29)*IF(AK$8&lt;$M$27,$Q$27,#REF!)*AK27</f>
        <v>2050.0666666666666</v>
      </c>
      <c r="AN27" s="26">
        <v>0.05</v>
      </c>
      <c r="AO27" s="214">
        <f>(AN$9*AN27)-(AO$18*AN27)</f>
        <v>9.2000000000000011</v>
      </c>
      <c r="AP27" s="522">
        <f>(1/AN$29)*IF(AN$8&lt;$M$27,$Q$27,#REF!)*AN27</f>
        <v>2050.0666666666666</v>
      </c>
      <c r="AQ27" s="26">
        <v>0.05</v>
      </c>
      <c r="AR27" s="214">
        <f>(AQ$9*AQ27)-(AR$18*AQ27)</f>
        <v>8.4</v>
      </c>
      <c r="AS27" s="522">
        <f>(1/AQ$29)*IF(AQ$8&lt;$M$27,$Q$27,#REF!)*AQ27</f>
        <v>2050.0666666666666</v>
      </c>
      <c r="AT27" s="26">
        <v>0.05</v>
      </c>
      <c r="AU27" s="214">
        <f>(AT$9*AT27)-(AU$18*AT27)</f>
        <v>8.8000000000000007</v>
      </c>
      <c r="AV27" s="522">
        <f>(1/AT$29)*IF(AT$8&lt;$M$27,$Q$27,#REF!)*AT27</f>
        <v>2050.0666666666666</v>
      </c>
      <c r="AW27" s="26">
        <v>0.05</v>
      </c>
      <c r="AX27" s="214">
        <f>(AW$9*AW27)-(AX$18*AW27)</f>
        <v>8.8000000000000007</v>
      </c>
      <c r="AY27" s="522">
        <f>(1/AW$29)*IF(AW$8&lt;$M$27,$Q$27,#REF!)*AW27</f>
        <v>2050.0666666666666</v>
      </c>
      <c r="AZ27" s="26">
        <v>0.05</v>
      </c>
      <c r="BA27" s="214">
        <f>(AZ$9*AZ27)-(BA$18*AZ27)</f>
        <v>8.4</v>
      </c>
      <c r="BB27" s="522">
        <f>(1/AZ$29)*IF(AZ$8&lt;$M$27,$Q$27,#REF!)*AZ27</f>
        <v>2050.0666666666666</v>
      </c>
      <c r="BC27" s="285">
        <f>SUM(U27,X27,AA27,AD27,AG27,AJ27,AM27,AP27,AS27,AV27,AY27,BB27)</f>
        <v>24600.799999999992</v>
      </c>
    </row>
    <row r="28" spans="1:55" ht="15" thickBot="1" x14ac:dyDescent="0.35">
      <c r="A28" s="572"/>
      <c r="B28" s="529" t="s">
        <v>197</v>
      </c>
      <c r="C28" s="158" t="s">
        <v>58</v>
      </c>
      <c r="D28" s="171"/>
      <c r="E28" s="4"/>
      <c r="F28" s="186" t="s">
        <v>50</v>
      </c>
      <c r="G28" s="5">
        <v>43952</v>
      </c>
      <c r="H28" s="168">
        <v>44926</v>
      </c>
      <c r="I28" s="5"/>
      <c r="J28" s="5"/>
      <c r="K28" s="18"/>
      <c r="L28" s="97"/>
      <c r="M28" s="98"/>
      <c r="N28" s="112"/>
      <c r="O28" s="98"/>
      <c r="P28" s="98"/>
      <c r="Q28" s="137"/>
      <c r="R28" s="529" t="s">
        <v>197</v>
      </c>
      <c r="S28" s="530">
        <v>0.7</v>
      </c>
      <c r="T28" s="442">
        <f>(S$9*S28)-(T$18*S28)</f>
        <v>123.19999999999999</v>
      </c>
      <c r="U28" s="531">
        <f>(1/S$29)*IF(S$8&lt;$M$27,$Q$27,#REF!)*S28</f>
        <v>28700.933333333327</v>
      </c>
      <c r="V28" s="530">
        <v>0.7</v>
      </c>
      <c r="W28" s="442">
        <f>(V$9*V28)-(W$18*V28)</f>
        <v>112</v>
      </c>
      <c r="X28" s="531">
        <f>(1/V$29)*IF(V$8&lt;$M$27,$Q$27,#REF!)*V28</f>
        <v>28700.933333333327</v>
      </c>
      <c r="Y28" s="530">
        <v>0.7</v>
      </c>
      <c r="Z28" s="442">
        <f>(Y$9*Y28)-(Z$18*Y28)</f>
        <v>128.79999999999998</v>
      </c>
      <c r="AA28" s="531">
        <f>(1/Y$29)*IF(Y$8&lt;$M$27,$Q$27,#REF!)*Y28</f>
        <v>28700.933333333327</v>
      </c>
      <c r="AB28" s="530">
        <v>0.7</v>
      </c>
      <c r="AC28" s="442">
        <f>(AB$9*AB28)-(AC$18*AB28)</f>
        <v>112</v>
      </c>
      <c r="AD28" s="531">
        <f>(1/AB$29)*IF(AB$8&lt;$M$27,$Q$27,#REF!)*AB28</f>
        <v>28700.933333333327</v>
      </c>
      <c r="AE28" s="530">
        <v>0.7</v>
      </c>
      <c r="AF28" s="442">
        <f>(AE$9*AE28)-(AF$18*AE28)</f>
        <v>128.79999999999998</v>
      </c>
      <c r="AG28" s="531">
        <f>(1/AE$29)*IF(AE$8&lt;$M$27,$Q$27,#REF!)*AE28</f>
        <v>28700.933333333327</v>
      </c>
      <c r="AH28" s="530">
        <v>0.7</v>
      </c>
      <c r="AI28" s="442">
        <f>(AH$9*AH28)-(AI$18*AH28)</f>
        <v>123.19999999999999</v>
      </c>
      <c r="AJ28" s="531">
        <f>(1/AH$29)*IF(AH$8&lt;$M$27,$Q$27,#REF!)*AH28</f>
        <v>28700.933333333327</v>
      </c>
      <c r="AK28" s="530">
        <v>0.7</v>
      </c>
      <c r="AL28" s="442">
        <f>(AK$9*AK28)-(AL$18*AK28)</f>
        <v>117.6</v>
      </c>
      <c r="AM28" s="531">
        <f>(1/AK$29)*IF(AK$8&lt;$M$27,$Q$27,#REF!)*AK28</f>
        <v>28700.933333333327</v>
      </c>
      <c r="AN28" s="530">
        <v>0.7</v>
      </c>
      <c r="AO28" s="442">
        <f>(AN$9*AN28)-(AO$18*AN28)</f>
        <v>128.79999999999998</v>
      </c>
      <c r="AP28" s="531">
        <f>(1/AN$29)*IF(AN$8&lt;$M$27,$Q$27,#REF!)*AN28</f>
        <v>28700.933333333327</v>
      </c>
      <c r="AQ28" s="530">
        <v>0.7</v>
      </c>
      <c r="AR28" s="442">
        <f>(AQ$9*AQ28)-(AR$18*AQ28)</f>
        <v>117.6</v>
      </c>
      <c r="AS28" s="531">
        <f>(1/AQ$29)*IF(AQ$8&lt;$M$27,$Q$27,#REF!)*AQ28</f>
        <v>28700.933333333327</v>
      </c>
      <c r="AT28" s="530">
        <v>0.7</v>
      </c>
      <c r="AU28" s="442">
        <f>(AT$9*AT28)-(AU$18*AT28)</f>
        <v>123.19999999999999</v>
      </c>
      <c r="AV28" s="531">
        <f>(1/AT$29)*IF(AT$8&lt;$M$27,$Q$27,#REF!)*AT28</f>
        <v>28700.933333333327</v>
      </c>
      <c r="AW28" s="530">
        <v>0.7</v>
      </c>
      <c r="AX28" s="442">
        <f>(AW$9*AW28)-(AX$18*AW28)</f>
        <v>123.19999999999999</v>
      </c>
      <c r="AY28" s="531">
        <f>(1/AW$29)*IF(AW$8&lt;$M$27,$Q$27,#REF!)*AW28</f>
        <v>28700.933333333327</v>
      </c>
      <c r="AZ28" s="530">
        <v>0.7</v>
      </c>
      <c r="BA28" s="442">
        <f>(AZ$9*AZ28)-(BA$18*AZ28)</f>
        <v>117.6</v>
      </c>
      <c r="BB28" s="531">
        <f>(1/AZ$29)*IF(AZ$8&lt;$M$27,$Q$27,#REF!)*AZ28</f>
        <v>28700.933333333327</v>
      </c>
      <c r="BC28" s="285">
        <f t="shared" si="27"/>
        <v>344411.19999999995</v>
      </c>
    </row>
    <row r="29" spans="1:55" ht="15" thickBot="1" x14ac:dyDescent="0.35">
      <c r="A29" s="572"/>
      <c r="B29" s="63" t="s">
        <v>36</v>
      </c>
      <c r="C29" s="160"/>
      <c r="D29" s="171"/>
      <c r="E29" s="4"/>
      <c r="F29" s="180"/>
      <c r="G29" s="5"/>
      <c r="H29" s="222"/>
      <c r="I29" s="222"/>
      <c r="J29" s="222"/>
      <c r="K29" s="18"/>
      <c r="L29" s="20"/>
      <c r="M29" s="22"/>
      <c r="N29" s="107"/>
      <c r="O29" s="22"/>
      <c r="P29" s="22"/>
      <c r="Q29" s="23"/>
      <c r="R29" s="63" t="s">
        <v>36</v>
      </c>
      <c r="S29" s="27">
        <f>SUM(S27:S28)</f>
        <v>0.75</v>
      </c>
      <c r="T29" s="77">
        <f>SUM(T27:T28)</f>
        <v>132</v>
      </c>
      <c r="U29" s="209">
        <f>SUM(U27:U28)</f>
        <v>30750.999999999993</v>
      </c>
      <c r="V29" s="27">
        <f t="shared" ref="V29:BB29" si="69">SUM(V27:V28)</f>
        <v>0.75</v>
      </c>
      <c r="W29" s="77">
        <f t="shared" si="69"/>
        <v>120</v>
      </c>
      <c r="X29" s="209">
        <f t="shared" si="69"/>
        <v>30750.999999999993</v>
      </c>
      <c r="Y29" s="27">
        <f t="shared" si="69"/>
        <v>0.75</v>
      </c>
      <c r="Z29" s="77">
        <f t="shared" si="69"/>
        <v>137.99999999999997</v>
      </c>
      <c r="AA29" s="209">
        <f t="shared" si="69"/>
        <v>30750.999999999993</v>
      </c>
      <c r="AB29" s="27">
        <f t="shared" si="69"/>
        <v>0.75</v>
      </c>
      <c r="AC29" s="77">
        <f t="shared" si="69"/>
        <v>120</v>
      </c>
      <c r="AD29" s="209">
        <f t="shared" si="69"/>
        <v>30750.999999999993</v>
      </c>
      <c r="AE29" s="27">
        <f t="shared" si="69"/>
        <v>0.75</v>
      </c>
      <c r="AF29" s="77">
        <f t="shared" si="69"/>
        <v>137.99999999999997</v>
      </c>
      <c r="AG29" s="209">
        <f t="shared" si="69"/>
        <v>30750.999999999993</v>
      </c>
      <c r="AH29" s="27">
        <f t="shared" si="69"/>
        <v>0.75</v>
      </c>
      <c r="AI29" s="77">
        <f t="shared" si="69"/>
        <v>132</v>
      </c>
      <c r="AJ29" s="209">
        <f t="shared" si="69"/>
        <v>30750.999999999993</v>
      </c>
      <c r="AK29" s="27">
        <f t="shared" si="69"/>
        <v>0.75</v>
      </c>
      <c r="AL29" s="77">
        <f t="shared" si="69"/>
        <v>126</v>
      </c>
      <c r="AM29" s="209">
        <f t="shared" si="69"/>
        <v>30750.999999999993</v>
      </c>
      <c r="AN29" s="27">
        <f t="shared" si="69"/>
        <v>0.75</v>
      </c>
      <c r="AO29" s="77">
        <f t="shared" si="69"/>
        <v>137.99999999999997</v>
      </c>
      <c r="AP29" s="209">
        <f t="shared" si="69"/>
        <v>30750.999999999993</v>
      </c>
      <c r="AQ29" s="27">
        <f t="shared" si="69"/>
        <v>0.75</v>
      </c>
      <c r="AR29" s="77">
        <f t="shared" si="69"/>
        <v>126</v>
      </c>
      <c r="AS29" s="209">
        <f t="shared" si="69"/>
        <v>30750.999999999993</v>
      </c>
      <c r="AT29" s="27">
        <f t="shared" si="69"/>
        <v>0.75</v>
      </c>
      <c r="AU29" s="77">
        <f t="shared" si="69"/>
        <v>132</v>
      </c>
      <c r="AV29" s="209">
        <f t="shared" si="69"/>
        <v>30750.999999999993</v>
      </c>
      <c r="AW29" s="27">
        <f t="shared" si="69"/>
        <v>0.75</v>
      </c>
      <c r="AX29" s="77">
        <f t="shared" si="69"/>
        <v>132</v>
      </c>
      <c r="AY29" s="209">
        <f t="shared" si="69"/>
        <v>30750.999999999993</v>
      </c>
      <c r="AZ29" s="27">
        <f t="shared" si="69"/>
        <v>0.75</v>
      </c>
      <c r="BA29" s="77">
        <f t="shared" si="69"/>
        <v>126</v>
      </c>
      <c r="BB29" s="209">
        <f t="shared" si="69"/>
        <v>30750.999999999993</v>
      </c>
      <c r="BC29" s="285">
        <f t="shared" si="27"/>
        <v>369011.99999999994</v>
      </c>
    </row>
    <row r="30" spans="1:55" ht="15" thickBot="1" x14ac:dyDescent="0.35">
      <c r="A30" s="573"/>
      <c r="B30" s="340" t="s">
        <v>27</v>
      </c>
      <c r="C30" s="161"/>
      <c r="D30" s="175"/>
      <c r="E30" s="7"/>
      <c r="F30" s="175"/>
      <c r="G30" s="7"/>
      <c r="H30" s="16"/>
      <c r="I30" s="16"/>
      <c r="J30" s="16"/>
      <c r="K30" s="16"/>
      <c r="L30" s="29"/>
      <c r="M30" s="108"/>
      <c r="N30" s="113"/>
      <c r="O30" s="108"/>
      <c r="P30" s="108"/>
      <c r="Q30" s="99"/>
      <c r="R30" s="383" t="s">
        <v>27</v>
      </c>
      <c r="S30" s="82"/>
      <c r="T30" s="80">
        <f>S30*8*S29</f>
        <v>0</v>
      </c>
      <c r="U30" s="83"/>
      <c r="V30" s="82"/>
      <c r="W30" s="80">
        <f t="shared" ref="W30" si="70">V30*8*V29</f>
        <v>0</v>
      </c>
      <c r="X30" s="83"/>
      <c r="Y30" s="82"/>
      <c r="Z30" s="80">
        <f t="shared" ref="Z30" si="71">Y30*8*Y29</f>
        <v>0</v>
      </c>
      <c r="AA30" s="83"/>
      <c r="AB30" s="82"/>
      <c r="AC30" s="80">
        <f t="shared" ref="AC30" si="72">AB30*8*AB29</f>
        <v>0</v>
      </c>
      <c r="AD30" s="83"/>
      <c r="AE30" s="82"/>
      <c r="AF30" s="80">
        <f t="shared" ref="AF30" si="73">AE30*8*AE29</f>
        <v>0</v>
      </c>
      <c r="AG30" s="83"/>
      <c r="AH30" s="82"/>
      <c r="AI30" s="80">
        <f t="shared" ref="AI30" si="74">AH30*8*AH29</f>
        <v>0</v>
      </c>
      <c r="AJ30" s="83"/>
      <c r="AK30" s="82"/>
      <c r="AL30" s="80">
        <f t="shared" ref="AL30" si="75">AK30*8*AK29</f>
        <v>0</v>
      </c>
      <c r="AM30" s="83"/>
      <c r="AN30" s="82"/>
      <c r="AO30" s="80">
        <f t="shared" ref="AO30" si="76">AN30*8*AN29</f>
        <v>0</v>
      </c>
      <c r="AP30" s="83"/>
      <c r="AQ30" s="82"/>
      <c r="AR30" s="80">
        <f t="shared" ref="AR30" si="77">AQ30*8*AQ29</f>
        <v>0</v>
      </c>
      <c r="AS30" s="83"/>
      <c r="AT30" s="82"/>
      <c r="AU30" s="80">
        <f t="shared" ref="AU30" si="78">AT30*8*AT29</f>
        <v>0</v>
      </c>
      <c r="AV30" s="83"/>
      <c r="AW30" s="82"/>
      <c r="AX30" s="80">
        <f t="shared" ref="AX30" si="79">AW30*8*AW29</f>
        <v>0</v>
      </c>
      <c r="AY30" s="83"/>
      <c r="AZ30" s="82"/>
      <c r="BA30" s="80">
        <f t="shared" ref="BA30" si="80">AZ30*8*AZ29</f>
        <v>0</v>
      </c>
      <c r="BB30" s="83"/>
      <c r="BC30" s="344">
        <f>25-(S30+V30+Y30+AB30+AE30+AH30+AK30+AN30+AQ30+AT30+AW30+AZ30)</f>
        <v>25</v>
      </c>
    </row>
    <row r="31" spans="1:55" ht="15" thickBot="1" x14ac:dyDescent="0.35">
      <c r="A31" s="536" t="s">
        <v>66</v>
      </c>
      <c r="B31" s="62" t="s">
        <v>7</v>
      </c>
      <c r="C31" s="197" t="s">
        <v>57</v>
      </c>
      <c r="D31" s="176">
        <v>0</v>
      </c>
      <c r="E31" s="131" t="s">
        <v>1</v>
      </c>
      <c r="F31" s="187" t="s">
        <v>50</v>
      </c>
      <c r="G31" s="132">
        <v>43891</v>
      </c>
      <c r="H31" s="221"/>
      <c r="I31" s="221"/>
      <c r="J31" s="221"/>
      <c r="K31" s="130"/>
      <c r="L31" s="375">
        <v>44805</v>
      </c>
      <c r="M31" s="5">
        <v>45291</v>
      </c>
      <c r="N31" s="109" t="s">
        <v>48</v>
      </c>
      <c r="O31" s="98">
        <f>27583+1623+3245</f>
        <v>32451</v>
      </c>
      <c r="P31" s="22">
        <f>21250+1250+2500</f>
        <v>25000</v>
      </c>
      <c r="Q31" s="379">
        <f>P31+O31</f>
        <v>57451</v>
      </c>
      <c r="R31" s="62" t="s">
        <v>7</v>
      </c>
      <c r="S31" s="118">
        <v>0.05</v>
      </c>
      <c r="T31" s="212">
        <f>(S$9*S31)-(T$43*S31)</f>
        <v>8.8000000000000007</v>
      </c>
      <c r="U31" s="213">
        <f>(1/S$33)*IF(S$8&lt;$M$31,$Q$31,$Q$32)*S31</f>
        <v>2872.55</v>
      </c>
      <c r="V31" s="118">
        <v>0.05</v>
      </c>
      <c r="W31" s="212">
        <f>(V$9*V31)-(W$43*V31)</f>
        <v>8</v>
      </c>
      <c r="X31" s="213">
        <f>(1/V$33)*IF(V$8&lt;$M$31,$Q$31,$Q$32)*V31</f>
        <v>2872.55</v>
      </c>
      <c r="Y31" s="118">
        <v>0.05</v>
      </c>
      <c r="Z31" s="212">
        <f>(Y$9*Y31)-(Z$43*Y31)</f>
        <v>9.2000000000000011</v>
      </c>
      <c r="AA31" s="213">
        <f>(1/Y$33)*IF(Y$8&lt;$M$31,$Q$31,$Q$32)*Y31</f>
        <v>2872.55</v>
      </c>
      <c r="AB31" s="118">
        <v>0.05</v>
      </c>
      <c r="AC31" s="212">
        <f>(AB$9*AB31)-(AC$43*AB31)</f>
        <v>8</v>
      </c>
      <c r="AD31" s="213">
        <f>(1/AB$33)*IF(AB$8&lt;$M$31,$Q$31,$Q$32)*AB31</f>
        <v>2872.55</v>
      </c>
      <c r="AE31" s="118">
        <v>0.05</v>
      </c>
      <c r="AF31" s="212">
        <f>(AE$9*AE31)-(AF$43*AE31)</f>
        <v>9.2000000000000011</v>
      </c>
      <c r="AG31" s="213">
        <f>(1/AE$33)*IF(AE$8&lt;$M$31,$Q$31,$Q$32)*AE31</f>
        <v>2872.55</v>
      </c>
      <c r="AH31" s="118">
        <v>0.05</v>
      </c>
      <c r="AI31" s="212">
        <f>(AH$9*AH31)-(AI$43*AH31)</f>
        <v>8.8000000000000007</v>
      </c>
      <c r="AJ31" s="213">
        <f>(1/AH$33)*IF(AH$8&lt;$M$31,$Q$31,$Q$32)*AH31</f>
        <v>2872.55</v>
      </c>
      <c r="AK31" s="118">
        <v>0.05</v>
      </c>
      <c r="AL31" s="212">
        <f>(AK$9*AK31)-(AL$43*AK31)</f>
        <v>8.4</v>
      </c>
      <c r="AM31" s="213">
        <f>(1/AK$33)*IF(AK$8&lt;$M$31,$Q$31,$Q$32)*AK31</f>
        <v>2872.55</v>
      </c>
      <c r="AN31" s="118">
        <v>0.05</v>
      </c>
      <c r="AO31" s="212">
        <f>(AN$9*AN31)-(AO$43*AN31)</f>
        <v>9.2000000000000011</v>
      </c>
      <c r="AP31" s="213">
        <f>(1/AN$33)*IF(AN$8&lt;$M$31,$Q$31,$Q$32)*AN31</f>
        <v>2872.55</v>
      </c>
      <c r="AQ31" s="118">
        <v>0.05</v>
      </c>
      <c r="AR31" s="212">
        <f>(AQ$9*AQ31)-(AR$43*AQ31)</f>
        <v>8.4</v>
      </c>
      <c r="AS31" s="213">
        <f>(1/AQ$33)*IF(AQ$8&lt;$M$31,$Q$31,$Q$32)*AQ31</f>
        <v>2872.55</v>
      </c>
      <c r="AT31" s="118">
        <v>0.05</v>
      </c>
      <c r="AU31" s="212">
        <f>(AT$9*AT31)-(AU$43*AT31)</f>
        <v>8.8000000000000007</v>
      </c>
      <c r="AV31" s="213">
        <f>(1/AT$33)*IF(AT$8&lt;$M$31,$Q$31,$Q$32)*AT31</f>
        <v>2872.55</v>
      </c>
      <c r="AW31" s="118">
        <v>0.05</v>
      </c>
      <c r="AX31" s="212">
        <f>(AW$9*AW31)-(AX$43*AW31)</f>
        <v>8.8000000000000007</v>
      </c>
      <c r="AY31" s="213">
        <f>(1/AW$33)*IF(AW$8&lt;$M$31,$Q$31,$Q$32)*AW31</f>
        <v>2872.55</v>
      </c>
      <c r="AZ31" s="118">
        <v>0.05</v>
      </c>
      <c r="BA31" s="212">
        <f>(AZ$9*AZ31)-(BA$43*AZ31)</f>
        <v>8.4</v>
      </c>
      <c r="BB31" s="213">
        <f>(1/AZ$33)*IF(AZ$8&lt;$M$31,$Q$31,$Q$32)*AZ31</f>
        <v>2872.55</v>
      </c>
      <c r="BC31" s="285">
        <f t="shared" si="27"/>
        <v>34470.6</v>
      </c>
    </row>
    <row r="32" spans="1:55" ht="15" thickBot="1" x14ac:dyDescent="0.35">
      <c r="A32" s="537"/>
      <c r="B32" s="63" t="s">
        <v>6</v>
      </c>
      <c r="C32" s="217" t="s">
        <v>58</v>
      </c>
      <c r="D32" s="177"/>
      <c r="E32" s="11"/>
      <c r="F32" s="193" t="s">
        <v>50</v>
      </c>
      <c r="G32" s="10">
        <v>43891</v>
      </c>
      <c r="H32" s="225">
        <v>45230</v>
      </c>
      <c r="I32" s="225"/>
      <c r="J32" s="225"/>
      <c r="K32" s="19"/>
      <c r="L32" s="20"/>
      <c r="M32" s="22"/>
      <c r="N32" s="107"/>
      <c r="O32" s="98"/>
      <c r="P32" s="22"/>
      <c r="Q32" s="379"/>
      <c r="R32" s="63" t="s">
        <v>6</v>
      </c>
      <c r="S32" s="24">
        <v>0.95</v>
      </c>
      <c r="T32" s="117">
        <f>(S$9*S32)-(T$43*S32)</f>
        <v>167.2</v>
      </c>
      <c r="U32" s="21">
        <f>(1/S$33)*IF(S$8&lt;$M$31,$Q$31,$Q$32)*S32</f>
        <v>54578.45</v>
      </c>
      <c r="V32" s="24">
        <v>0.95</v>
      </c>
      <c r="W32" s="117">
        <f>(V$9*V32)-(W$43*V32)</f>
        <v>152</v>
      </c>
      <c r="X32" s="21">
        <f>(1/V$33)*IF(V$8&lt;$M$31,$Q$31,$Q$32)*V32</f>
        <v>54578.45</v>
      </c>
      <c r="Y32" s="24">
        <v>0.95</v>
      </c>
      <c r="Z32" s="117">
        <f>(Y$9*Y32)-(Z$43*Y32)</f>
        <v>174.79999999999998</v>
      </c>
      <c r="AA32" s="21">
        <f>(1/Y$33)*IF(Y$8&lt;$M$31,$Q$31,$Q$32)*Y32</f>
        <v>54578.45</v>
      </c>
      <c r="AB32" s="24">
        <v>0.95</v>
      </c>
      <c r="AC32" s="117">
        <f>(AB$9*AB32)-(AC$43*AB32)</f>
        <v>152</v>
      </c>
      <c r="AD32" s="21">
        <f>(1/AB$33)*IF(AB$8&lt;$M$31,$Q$31,$Q$32)*AB32</f>
        <v>54578.45</v>
      </c>
      <c r="AE32" s="24">
        <v>0.95</v>
      </c>
      <c r="AF32" s="117">
        <f>(AE$9*AE32)-(AF$43*AE32)</f>
        <v>174.79999999999998</v>
      </c>
      <c r="AG32" s="21">
        <f>(1/AE$33)*IF(AE$8&lt;$M$31,$Q$31,$Q$32)*AE32</f>
        <v>54578.45</v>
      </c>
      <c r="AH32" s="24">
        <v>0.95</v>
      </c>
      <c r="AI32" s="117">
        <f>(AH$9*AH32)-(AI$43*AH32)</f>
        <v>167.2</v>
      </c>
      <c r="AJ32" s="21">
        <f>(1/AH$33)*IF(AH$8&lt;$M$31,$Q$31,$Q$32)*AH32</f>
        <v>54578.45</v>
      </c>
      <c r="AK32" s="24">
        <v>0.95</v>
      </c>
      <c r="AL32" s="117">
        <f>(AK$9*AK32)-(AL$43*AK32)</f>
        <v>159.6</v>
      </c>
      <c r="AM32" s="21">
        <f>(1/AK$33)*IF(AK$8&lt;$M$31,$Q$31,$Q$32)*AK32</f>
        <v>54578.45</v>
      </c>
      <c r="AN32" s="24">
        <v>0.95</v>
      </c>
      <c r="AO32" s="117">
        <f>(AN$9*AN32)-(AO$43*AN32)</f>
        <v>174.79999999999998</v>
      </c>
      <c r="AP32" s="21">
        <f>(1/AN$33)*IF(AN$8&lt;$M$31,$Q$31,$Q$32)*AN32</f>
        <v>54578.45</v>
      </c>
      <c r="AQ32" s="24">
        <v>0.95</v>
      </c>
      <c r="AR32" s="117">
        <f>(AQ$9*AQ32)-(AR$43*AQ32)</f>
        <v>159.6</v>
      </c>
      <c r="AS32" s="21">
        <f>(1/AQ$33)*IF(AQ$8&lt;$M$31,$Q$31,$Q$32)*AQ32</f>
        <v>54578.45</v>
      </c>
      <c r="AT32" s="24">
        <v>0.95</v>
      </c>
      <c r="AU32" s="117">
        <f>(AT$9*AT32)-(AU$43*AT32)</f>
        <v>167.2</v>
      </c>
      <c r="AV32" s="21">
        <f>(1/AT$33)*IF(AT$8&lt;$M$31,$Q$31,$Q$32)*AT32</f>
        <v>54578.45</v>
      </c>
      <c r="AW32" s="349">
        <v>0.95</v>
      </c>
      <c r="AX32" s="350"/>
      <c r="AY32" s="351"/>
      <c r="AZ32" s="349">
        <v>0.95</v>
      </c>
      <c r="BA32" s="350"/>
      <c r="BB32" s="351"/>
      <c r="BC32" s="285">
        <f t="shared" si="27"/>
        <v>545784.5</v>
      </c>
    </row>
    <row r="33" spans="1:55" ht="15" thickBot="1" x14ac:dyDescent="0.35">
      <c r="A33" s="537"/>
      <c r="B33" s="63" t="s">
        <v>36</v>
      </c>
      <c r="C33" s="219"/>
      <c r="D33" s="177"/>
      <c r="E33" s="11"/>
      <c r="F33" s="188"/>
      <c r="G33" s="10"/>
      <c r="H33" s="225"/>
      <c r="I33" s="225"/>
      <c r="J33" s="225"/>
      <c r="K33" s="19"/>
      <c r="L33" s="20"/>
      <c r="M33" s="1"/>
      <c r="N33" s="1"/>
      <c r="O33" s="1"/>
      <c r="P33" s="1"/>
      <c r="Q33" s="18"/>
      <c r="R33" s="63" t="s">
        <v>36</v>
      </c>
      <c r="S33" s="274">
        <f>SUM(S31:S32)</f>
        <v>1</v>
      </c>
      <c r="T33" s="77">
        <f>SUM(T31:T32)</f>
        <v>176</v>
      </c>
      <c r="U33" s="28">
        <f>SUM(U31:U32)</f>
        <v>57451</v>
      </c>
      <c r="V33" s="274">
        <f t="shared" ref="V33:AV33" si="81">SUM(V31:V32)</f>
        <v>1</v>
      </c>
      <c r="W33" s="77">
        <f t="shared" si="81"/>
        <v>160</v>
      </c>
      <c r="X33" s="28">
        <f t="shared" si="81"/>
        <v>57451</v>
      </c>
      <c r="Y33" s="274">
        <f t="shared" si="81"/>
        <v>1</v>
      </c>
      <c r="Z33" s="77">
        <f t="shared" si="81"/>
        <v>183.99999999999997</v>
      </c>
      <c r="AA33" s="28">
        <f t="shared" si="81"/>
        <v>57451</v>
      </c>
      <c r="AB33" s="274">
        <f t="shared" si="81"/>
        <v>1</v>
      </c>
      <c r="AC33" s="77">
        <f t="shared" si="81"/>
        <v>160</v>
      </c>
      <c r="AD33" s="28">
        <f t="shared" si="81"/>
        <v>57451</v>
      </c>
      <c r="AE33" s="274">
        <f t="shared" si="81"/>
        <v>1</v>
      </c>
      <c r="AF33" s="77">
        <f t="shared" si="81"/>
        <v>183.99999999999997</v>
      </c>
      <c r="AG33" s="28">
        <f t="shared" si="81"/>
        <v>57451</v>
      </c>
      <c r="AH33" s="274">
        <f t="shared" si="81"/>
        <v>1</v>
      </c>
      <c r="AI33" s="77">
        <f t="shared" si="81"/>
        <v>176</v>
      </c>
      <c r="AJ33" s="28">
        <f t="shared" si="81"/>
        <v>57451</v>
      </c>
      <c r="AK33" s="274">
        <f t="shared" si="81"/>
        <v>1</v>
      </c>
      <c r="AL33" s="77">
        <f t="shared" si="81"/>
        <v>168</v>
      </c>
      <c r="AM33" s="28">
        <f t="shared" si="81"/>
        <v>57451</v>
      </c>
      <c r="AN33" s="274">
        <f t="shared" si="81"/>
        <v>1</v>
      </c>
      <c r="AO33" s="77">
        <f t="shared" si="81"/>
        <v>183.99999999999997</v>
      </c>
      <c r="AP33" s="28">
        <f t="shared" si="81"/>
        <v>57451</v>
      </c>
      <c r="AQ33" s="274">
        <f t="shared" si="81"/>
        <v>1</v>
      </c>
      <c r="AR33" s="77">
        <f t="shared" si="81"/>
        <v>168</v>
      </c>
      <c r="AS33" s="28">
        <f t="shared" si="81"/>
        <v>57451</v>
      </c>
      <c r="AT33" s="274">
        <f t="shared" si="81"/>
        <v>1</v>
      </c>
      <c r="AU33" s="77">
        <f t="shared" si="81"/>
        <v>176</v>
      </c>
      <c r="AV33" s="28">
        <f t="shared" si="81"/>
        <v>57451</v>
      </c>
      <c r="AW33" s="274">
        <f t="shared" ref="AW33:BB33" si="82">SUM(AW31:AW32)</f>
        <v>1</v>
      </c>
      <c r="AX33" s="77">
        <f t="shared" si="82"/>
        <v>8.8000000000000007</v>
      </c>
      <c r="AY33" s="28">
        <f t="shared" si="82"/>
        <v>2872.55</v>
      </c>
      <c r="AZ33" s="274">
        <f t="shared" si="82"/>
        <v>1</v>
      </c>
      <c r="BA33" s="77">
        <f t="shared" si="82"/>
        <v>8.4</v>
      </c>
      <c r="BB33" s="28">
        <f t="shared" si="82"/>
        <v>2872.55</v>
      </c>
      <c r="BC33" s="285">
        <f t="shared" si="27"/>
        <v>580255.10000000009</v>
      </c>
    </row>
    <row r="34" spans="1:55" ht="15" thickBot="1" x14ac:dyDescent="0.35">
      <c r="A34" s="538"/>
      <c r="B34" s="340" t="s">
        <v>27</v>
      </c>
      <c r="C34" s="164"/>
      <c r="D34" s="178"/>
      <c r="E34" s="74"/>
      <c r="F34" s="189"/>
      <c r="G34" s="75"/>
      <c r="H34" s="227"/>
      <c r="I34" s="227"/>
      <c r="J34" s="227"/>
      <c r="K34" s="76"/>
      <c r="L34" s="29"/>
      <c r="M34" s="7"/>
      <c r="N34" s="7"/>
      <c r="O34" s="7"/>
      <c r="P34" s="7"/>
      <c r="Q34" s="16"/>
      <c r="R34" s="339" t="s">
        <v>27</v>
      </c>
      <c r="S34" s="50"/>
      <c r="T34" s="51">
        <f>S34*8*S33</f>
        <v>0</v>
      </c>
      <c r="U34" s="52"/>
      <c r="V34" s="50"/>
      <c r="W34" s="51">
        <f t="shared" ref="W34" si="83">V34*8*V33</f>
        <v>0</v>
      </c>
      <c r="X34" s="52"/>
      <c r="Y34" s="50"/>
      <c r="Z34" s="51">
        <f t="shared" ref="Z34" si="84">Y34*8*Y33</f>
        <v>0</v>
      </c>
      <c r="AA34" s="52"/>
      <c r="AB34" s="50"/>
      <c r="AC34" s="51">
        <f t="shared" ref="AC34" si="85">AB34*8*AB33</f>
        <v>0</v>
      </c>
      <c r="AD34" s="52"/>
      <c r="AE34" s="50"/>
      <c r="AF34" s="51">
        <f t="shared" ref="AF34" si="86">AE34*8*AE33</f>
        <v>0</v>
      </c>
      <c r="AG34" s="52"/>
      <c r="AH34" s="50"/>
      <c r="AI34" s="51">
        <f t="shared" ref="AI34" si="87">AH34*8*AH33</f>
        <v>0</v>
      </c>
      <c r="AJ34" s="52"/>
      <c r="AK34" s="50"/>
      <c r="AL34" s="51">
        <f t="shared" ref="AL34" si="88">AK34*8*AK33</f>
        <v>0</v>
      </c>
      <c r="AM34" s="52"/>
      <c r="AN34" s="50"/>
      <c r="AO34" s="51">
        <f t="shared" ref="AO34" si="89">AN34*8*AN33</f>
        <v>0</v>
      </c>
      <c r="AP34" s="52"/>
      <c r="AQ34" s="50"/>
      <c r="AR34" s="51">
        <f t="shared" ref="AR34" si="90">AQ34*8*AQ33</f>
        <v>0</v>
      </c>
      <c r="AS34" s="52"/>
      <c r="AT34" s="50"/>
      <c r="AU34" s="51">
        <f t="shared" ref="AU34" si="91">AT34*8*AT33</f>
        <v>0</v>
      </c>
      <c r="AV34" s="52"/>
      <c r="AW34" s="50"/>
      <c r="AX34" s="51">
        <f t="shared" ref="AX34" si="92">AW34*8*AW33</f>
        <v>0</v>
      </c>
      <c r="AY34" s="52"/>
      <c r="AZ34" s="50"/>
      <c r="BA34" s="51">
        <f t="shared" ref="BA34" si="93">AZ34*8*AZ33</f>
        <v>0</v>
      </c>
      <c r="BB34" s="52"/>
      <c r="BC34" s="344">
        <f>25-(S34+V34+Y34+AB34+AE34+AH34+AK34+AN34+AQ34+AT34+AW34+AZ34)</f>
        <v>25</v>
      </c>
    </row>
    <row r="35" spans="1:55" ht="15" thickBot="1" x14ac:dyDescent="0.35">
      <c r="A35" s="139" t="s">
        <v>67</v>
      </c>
      <c r="B35" s="155"/>
      <c r="C35" s="154"/>
      <c r="D35" s="179">
        <v>1</v>
      </c>
      <c r="E35" s="116" t="s">
        <v>3</v>
      </c>
      <c r="F35" s="190" t="s">
        <v>50</v>
      </c>
      <c r="G35" s="140"/>
      <c r="H35" s="362"/>
      <c r="I35" s="362"/>
      <c r="J35" s="362"/>
      <c r="K35" s="141" t="s">
        <v>10</v>
      </c>
      <c r="L35" s="142"/>
      <c r="M35" s="143"/>
      <c r="N35" s="143"/>
      <c r="O35" s="144"/>
      <c r="P35" s="144"/>
      <c r="Q35" s="145"/>
      <c r="R35" s="384"/>
      <c r="S35" s="314"/>
      <c r="T35" s="315"/>
      <c r="U35" s="313"/>
      <c r="V35" s="116"/>
      <c r="W35" s="116"/>
      <c r="X35" s="86"/>
      <c r="Y35" s="116"/>
      <c r="Z35" s="116"/>
      <c r="AA35" s="276"/>
      <c r="AB35" s="307"/>
      <c r="AC35" s="116"/>
      <c r="AD35" s="116"/>
      <c r="AE35" s="276"/>
      <c r="AF35" s="116"/>
      <c r="AG35" s="116"/>
      <c r="AH35" s="116"/>
      <c r="AI35" s="116"/>
      <c r="AJ35" s="86"/>
      <c r="AK35" s="116"/>
      <c r="AL35" s="116"/>
      <c r="AM35" s="86"/>
      <c r="AN35" s="116"/>
      <c r="AO35" s="116"/>
      <c r="AP35" s="276"/>
      <c r="AQ35" s="307"/>
      <c r="AR35" s="116"/>
      <c r="AS35" s="276"/>
      <c r="AT35" s="307"/>
      <c r="AU35" s="116"/>
      <c r="AV35" s="86"/>
      <c r="AW35" s="306"/>
      <c r="AX35" s="116"/>
      <c r="AY35" s="86"/>
      <c r="AZ35" s="116"/>
      <c r="BA35" s="116"/>
      <c r="BB35" s="276"/>
      <c r="BC35" s="285">
        <f t="shared" si="27"/>
        <v>0</v>
      </c>
    </row>
    <row r="36" spans="1:55" ht="15" thickBot="1" x14ac:dyDescent="0.35">
      <c r="A36" s="574" t="s">
        <v>81</v>
      </c>
      <c r="B36" s="62" t="s">
        <v>7</v>
      </c>
      <c r="C36" s="220" t="s">
        <v>58</v>
      </c>
      <c r="D36" s="170"/>
      <c r="E36" s="366"/>
      <c r="F36" s="360" t="s">
        <v>50</v>
      </c>
      <c r="G36" s="323">
        <v>44197</v>
      </c>
      <c r="H36" s="367"/>
      <c r="I36" s="445"/>
      <c r="J36" s="445"/>
      <c r="K36" s="370"/>
      <c r="L36" s="375">
        <v>44805</v>
      </c>
      <c r="M36" s="5">
        <v>45291</v>
      </c>
      <c r="N36" s="376" t="s">
        <v>15</v>
      </c>
      <c r="O36" s="22">
        <f>2807+23860+1404</f>
        <v>28071</v>
      </c>
      <c r="P36" s="22">
        <f>1200+10200+600</f>
        <v>12000</v>
      </c>
      <c r="Q36" s="137">
        <f>P36+O36</f>
        <v>40071</v>
      </c>
      <c r="R36" s="38" t="s">
        <v>7</v>
      </c>
      <c r="S36" s="526">
        <v>0.05</v>
      </c>
      <c r="T36" s="527">
        <f>(S$9*S36)-(T$43*S36)</f>
        <v>8.8000000000000007</v>
      </c>
      <c r="U36" s="528">
        <f>(1/S$38)*IF(S$8&lt;$M$36,$Q$36,$Q$37)*S36</f>
        <v>2003.5500000000002</v>
      </c>
      <c r="V36" s="526">
        <v>0.05</v>
      </c>
      <c r="W36" s="527">
        <f>(V$9*V36)-(W$43*V36)</f>
        <v>8</v>
      </c>
      <c r="X36" s="528">
        <f>(1/V$38)*IF(V$8&lt;$M$36,$Q$36,$Q$37)*V36</f>
        <v>2003.5500000000002</v>
      </c>
      <c r="Y36" s="526">
        <v>0.05</v>
      </c>
      <c r="Z36" s="527">
        <f>(Y$9*Y36)-(Z$43*Y36)</f>
        <v>9.2000000000000011</v>
      </c>
      <c r="AA36" s="528">
        <f>(1/Y$38)*IF(Y$8&lt;$M$36,$Q$36,$Q$37)*Y36</f>
        <v>2003.5500000000002</v>
      </c>
      <c r="AB36" s="526">
        <v>0.05</v>
      </c>
      <c r="AC36" s="527">
        <f>(AB$9*AB36)-(AC$43*AB36)</f>
        <v>8</v>
      </c>
      <c r="AD36" s="528">
        <f>(1/AB$38)*IF(AB$8&lt;$M$36,$Q$36,$Q$37)*AB36</f>
        <v>2003.5500000000002</v>
      </c>
      <c r="AE36" s="526">
        <v>0.05</v>
      </c>
      <c r="AF36" s="527">
        <f>(AE$9*AE36)-(AF$43*AE36)</f>
        <v>9.2000000000000011</v>
      </c>
      <c r="AG36" s="528">
        <f>(1/AE$38)*IF(AE$8&lt;$M$36,$Q$36,$Q$37)*AE36</f>
        <v>2003.5500000000002</v>
      </c>
      <c r="AH36" s="526">
        <v>0.05</v>
      </c>
      <c r="AI36" s="527">
        <f>(AH$9*AH36)-(AI$43*AH36)</f>
        <v>8.8000000000000007</v>
      </c>
      <c r="AJ36" s="528">
        <f>(1/AH$38)*IF(AH$8&lt;$M$36,$Q$36,$Q$37)*AH36</f>
        <v>2003.5500000000002</v>
      </c>
      <c r="AK36" s="526">
        <v>0.05</v>
      </c>
      <c r="AL36" s="527">
        <f>(AK$9*AK36)-(AL$43*AK36)</f>
        <v>8.4</v>
      </c>
      <c r="AM36" s="528">
        <f>(1/AK$38)*IF(AK$8&lt;$M$36,$Q$36,$Q$37)*AK36</f>
        <v>2003.5500000000002</v>
      </c>
      <c r="AN36" s="526">
        <v>0.05</v>
      </c>
      <c r="AO36" s="527">
        <f>(AN$9*AN36)-(AO$43*AN36)</f>
        <v>9.2000000000000011</v>
      </c>
      <c r="AP36" s="528">
        <f>(1/AN$38)*IF(AN$8&lt;$M$36,$Q$36,$Q$37)*AN36</f>
        <v>2003.5500000000002</v>
      </c>
      <c r="AQ36" s="526">
        <v>0.05</v>
      </c>
      <c r="AR36" s="527">
        <f>(AQ$9*AQ36)-(AR$43*AQ36)</f>
        <v>8.4</v>
      </c>
      <c r="AS36" s="528">
        <f>(1/AQ$38)*IF(AQ$8&lt;$M$36,$Q$36,$Q$37)*AQ36</f>
        <v>2003.5500000000002</v>
      </c>
      <c r="AT36" s="526">
        <v>0.05</v>
      </c>
      <c r="AU36" s="527">
        <f>(AT$9*AT36)-(AU$43*AT36)</f>
        <v>8.8000000000000007</v>
      </c>
      <c r="AV36" s="528">
        <f>(1/AT$38)*IF(AT$8&lt;$M$36,$Q$36,$Q$37)*AT36</f>
        <v>2003.5500000000002</v>
      </c>
      <c r="AW36" s="526">
        <v>0.05</v>
      </c>
      <c r="AX36" s="527">
        <f>(AW$9*AW36)-(AX$43*AW36)</f>
        <v>8.8000000000000007</v>
      </c>
      <c r="AY36" s="528">
        <f>(1/AW$38)*IF(AW$8&lt;$M$36,$Q$36,$Q$37)*AW36</f>
        <v>2003.5500000000002</v>
      </c>
      <c r="AZ36" s="526">
        <v>0.05</v>
      </c>
      <c r="BA36" s="527">
        <f>(AZ$9*AZ36)-(BA$43*AZ36)</f>
        <v>8.4</v>
      </c>
      <c r="BB36" s="528">
        <f>(1/AZ$38)*IF(AZ$8&lt;$M$36,$Q$36,$Q$37)*AZ36</f>
        <v>2003.5500000000002</v>
      </c>
      <c r="BC36" s="285">
        <f t="shared" si="27"/>
        <v>24042.599999999995</v>
      </c>
    </row>
    <row r="37" spans="1:55" ht="15" thickBot="1" x14ac:dyDescent="0.35">
      <c r="A37" s="572"/>
      <c r="B37" s="529" t="s">
        <v>197</v>
      </c>
      <c r="C37" s="217" t="s">
        <v>58</v>
      </c>
      <c r="D37" s="171"/>
      <c r="E37" s="364"/>
      <c r="F37" s="182" t="s">
        <v>50</v>
      </c>
      <c r="G37" s="5">
        <v>44197</v>
      </c>
      <c r="H37" s="5">
        <v>44926</v>
      </c>
      <c r="I37" s="222"/>
      <c r="J37" s="222"/>
      <c r="K37" s="371"/>
      <c r="L37" s="20"/>
      <c r="M37" s="1"/>
      <c r="N37" s="1"/>
      <c r="O37" s="22"/>
      <c r="P37" s="22"/>
      <c r="Q37" s="126"/>
      <c r="R37" s="525" t="s">
        <v>197</v>
      </c>
      <c r="S37" s="385">
        <v>0.95</v>
      </c>
      <c r="T37" s="350">
        <f>(S$9*S37)-(T$43*S37)</f>
        <v>167.2</v>
      </c>
      <c r="U37" s="461">
        <f>(1/S$38)*IF(S$8&lt;$M$36,$Q$36,$Q$37)*S37</f>
        <v>38067.449999999997</v>
      </c>
      <c r="V37" s="385">
        <v>0.95</v>
      </c>
      <c r="W37" s="350">
        <f>(V$9*V37)-(W$43*V37)</f>
        <v>152</v>
      </c>
      <c r="X37" s="461">
        <f>(1/V$38)*IF(V$8&lt;$M$36,$Q$36,$Q$37)*V37</f>
        <v>38067.449999999997</v>
      </c>
      <c r="Y37" s="385">
        <v>0.95</v>
      </c>
      <c r="Z37" s="350">
        <f>(Y$9*Y37)-(Z$43*Y37)</f>
        <v>174.79999999999998</v>
      </c>
      <c r="AA37" s="461">
        <f>(1/Y$38)*IF(Y$8&lt;$M$36,$Q$36,$Q$37)*Y37</f>
        <v>38067.449999999997</v>
      </c>
      <c r="AB37" s="385">
        <v>0.95</v>
      </c>
      <c r="AC37" s="350">
        <f>(AB$9*AB37)-(AC$43*AB37)</f>
        <v>152</v>
      </c>
      <c r="AD37" s="461">
        <f>(1/AB$38)*IF(AB$8&lt;$M$36,$Q$36,$Q$37)*AB37</f>
        <v>38067.449999999997</v>
      </c>
      <c r="AE37" s="385">
        <v>0.95</v>
      </c>
      <c r="AF37" s="350">
        <f>(AE$9*AE37)-(AF$43*AE37)</f>
        <v>174.79999999999998</v>
      </c>
      <c r="AG37" s="461">
        <f>(1/AE$38)*IF(AE$8&lt;$M$36,$Q$36,$Q$37)*AE37</f>
        <v>38067.449999999997</v>
      </c>
      <c r="AH37" s="385">
        <v>0.95</v>
      </c>
      <c r="AI37" s="350">
        <f>(AH$9*AH37)-(AI$43*AH37)</f>
        <v>167.2</v>
      </c>
      <c r="AJ37" s="461">
        <f>(1/AH$38)*IF(AH$8&lt;$M$36,$Q$36,$Q$37)*AH37</f>
        <v>38067.449999999997</v>
      </c>
      <c r="AK37" s="385">
        <v>0.95</v>
      </c>
      <c r="AL37" s="350">
        <f>(AK$9*AK37)-(AL$43*AK37)</f>
        <v>159.6</v>
      </c>
      <c r="AM37" s="461">
        <f>(1/AK$38)*IF(AK$8&lt;$M$36,$Q$36,$Q$37)*AK37</f>
        <v>38067.449999999997</v>
      </c>
      <c r="AN37" s="385">
        <v>0.95</v>
      </c>
      <c r="AO37" s="350">
        <f>(AN$9*AN37)-(AO$43*AN37)</f>
        <v>174.79999999999998</v>
      </c>
      <c r="AP37" s="461">
        <f>(1/AN$38)*IF(AN$8&lt;$M$36,$Q$36,$Q$37)*AN37</f>
        <v>38067.449999999997</v>
      </c>
      <c r="AQ37" s="385">
        <v>0.95</v>
      </c>
      <c r="AR37" s="350">
        <f>(AQ$9*AQ37)-(AR$43*AQ37)</f>
        <v>159.6</v>
      </c>
      <c r="AS37" s="461">
        <f>(1/AQ$38)*IF(AQ$8&lt;$M$36,$Q$36,$Q$37)*AQ37</f>
        <v>38067.449999999997</v>
      </c>
      <c r="AT37" s="385">
        <v>0.95</v>
      </c>
      <c r="AU37" s="350">
        <f>(AT$9*AT37)-(AU$43*AT37)</f>
        <v>167.2</v>
      </c>
      <c r="AV37" s="461">
        <f>(1/AT$38)*IF(AT$8&lt;$M$36,$Q$36,$Q$37)*AT37</f>
        <v>38067.449999999997</v>
      </c>
      <c r="AW37" s="385">
        <v>0.95</v>
      </c>
      <c r="AX37" s="350">
        <f>(AW$9*AW37)-(AX$43*AW37)</f>
        <v>167.2</v>
      </c>
      <c r="AY37" s="461">
        <f>(1/AW$38)*IF(AW$8&lt;$M$36,$Q$36,$Q$37)*AW37</f>
        <v>38067.449999999997</v>
      </c>
      <c r="AZ37" s="385">
        <v>0.95</v>
      </c>
      <c r="BA37" s="350">
        <f>(AZ$9*AZ37)-(BA$43*AZ37)</f>
        <v>159.6</v>
      </c>
      <c r="BB37" s="461">
        <f>(1/AZ$38)*IF(AZ$8&lt;$M$36,$Q$36,$Q$37)*AZ37</f>
        <v>38067.449999999997</v>
      </c>
      <c r="BC37" s="285">
        <f t="shared" si="27"/>
        <v>456809.40000000008</v>
      </c>
    </row>
    <row r="38" spans="1:55" ht="15" thickBot="1" x14ac:dyDescent="0.35">
      <c r="A38" s="572"/>
      <c r="B38" s="63" t="s">
        <v>36</v>
      </c>
      <c r="C38" s="217"/>
      <c r="D38" s="171"/>
      <c r="E38" s="364"/>
      <c r="F38" s="182"/>
      <c r="G38" s="365"/>
      <c r="H38" s="365"/>
      <c r="I38" s="446"/>
      <c r="J38" s="446"/>
      <c r="K38" s="371"/>
      <c r="L38" s="20"/>
      <c r="M38" s="1"/>
      <c r="N38" s="1"/>
      <c r="O38" s="22"/>
      <c r="P38" s="22"/>
      <c r="Q38" s="126"/>
      <c r="R38" s="39" t="s">
        <v>36</v>
      </c>
      <c r="S38" s="274">
        <f>SUM(S35:S37)</f>
        <v>1</v>
      </c>
      <c r="T38" s="77">
        <f>SUM(T36:T37)</f>
        <v>176</v>
      </c>
      <c r="U38" s="28">
        <f>SUM(U35:U37)</f>
        <v>40071</v>
      </c>
      <c r="V38" s="274">
        <f t="shared" ref="V38" si="94">SUM(V35:V37)</f>
        <v>1</v>
      </c>
      <c r="W38" s="77">
        <f t="shared" ref="W38" si="95">SUM(W36:W37)</f>
        <v>160</v>
      </c>
      <c r="X38" s="28">
        <f t="shared" ref="X38:Y38" si="96">SUM(X35:X37)</f>
        <v>40071</v>
      </c>
      <c r="Y38" s="274">
        <f t="shared" si="96"/>
        <v>1</v>
      </c>
      <c r="Z38" s="77">
        <f t="shared" ref="Z38" si="97">SUM(Z36:Z37)</f>
        <v>183.99999999999997</v>
      </c>
      <c r="AA38" s="28">
        <f t="shared" ref="AA38:AB38" si="98">SUM(AA35:AA37)</f>
        <v>40071</v>
      </c>
      <c r="AB38" s="274">
        <f t="shared" si="98"/>
        <v>1</v>
      </c>
      <c r="AC38" s="77">
        <f t="shared" ref="AC38" si="99">SUM(AC36:AC37)</f>
        <v>160</v>
      </c>
      <c r="AD38" s="28">
        <f t="shared" ref="AD38:AE38" si="100">SUM(AD35:AD37)</f>
        <v>40071</v>
      </c>
      <c r="AE38" s="274">
        <f t="shared" si="100"/>
        <v>1</v>
      </c>
      <c r="AF38" s="77">
        <f t="shared" ref="AF38" si="101">SUM(AF36:AF37)</f>
        <v>183.99999999999997</v>
      </c>
      <c r="AG38" s="28">
        <f t="shared" ref="AG38:AH38" si="102">SUM(AG35:AG37)</f>
        <v>40071</v>
      </c>
      <c r="AH38" s="274">
        <f t="shared" si="102"/>
        <v>1</v>
      </c>
      <c r="AI38" s="77">
        <f t="shared" ref="AI38" si="103">SUM(AI36:AI37)</f>
        <v>176</v>
      </c>
      <c r="AJ38" s="28">
        <f t="shared" ref="AJ38:AK38" si="104">SUM(AJ35:AJ37)</f>
        <v>40071</v>
      </c>
      <c r="AK38" s="274">
        <f t="shared" si="104"/>
        <v>1</v>
      </c>
      <c r="AL38" s="77">
        <f t="shared" ref="AL38" si="105">SUM(AL36:AL37)</f>
        <v>168</v>
      </c>
      <c r="AM38" s="28">
        <f t="shared" ref="AM38:AN38" si="106">SUM(AM35:AM37)</f>
        <v>40071</v>
      </c>
      <c r="AN38" s="274">
        <f t="shared" si="106"/>
        <v>1</v>
      </c>
      <c r="AO38" s="77">
        <f t="shared" ref="AO38" si="107">SUM(AO36:AO37)</f>
        <v>183.99999999999997</v>
      </c>
      <c r="AP38" s="28">
        <f t="shared" ref="AP38:AQ38" si="108">SUM(AP35:AP37)</f>
        <v>40071</v>
      </c>
      <c r="AQ38" s="274">
        <f t="shared" si="108"/>
        <v>1</v>
      </c>
      <c r="AR38" s="77">
        <f t="shared" ref="AR38" si="109">SUM(AR36:AR37)</f>
        <v>168</v>
      </c>
      <c r="AS38" s="28">
        <f t="shared" ref="AS38:AT38" si="110">SUM(AS35:AS37)</f>
        <v>40071</v>
      </c>
      <c r="AT38" s="274">
        <f t="shared" si="110"/>
        <v>1</v>
      </c>
      <c r="AU38" s="77">
        <f t="shared" ref="AU38" si="111">SUM(AU36:AU37)</f>
        <v>176</v>
      </c>
      <c r="AV38" s="28">
        <f t="shared" ref="AV38:AW38" si="112">SUM(AV35:AV37)</f>
        <v>40071</v>
      </c>
      <c r="AW38" s="274">
        <f t="shared" si="112"/>
        <v>1</v>
      </c>
      <c r="AX38" s="77">
        <f t="shared" ref="AX38" si="113">SUM(AX36:AX37)</f>
        <v>176</v>
      </c>
      <c r="AY38" s="28">
        <f t="shared" ref="AY38:AZ38" si="114">SUM(AY35:AY37)</f>
        <v>40071</v>
      </c>
      <c r="AZ38" s="274">
        <f t="shared" si="114"/>
        <v>1</v>
      </c>
      <c r="BA38" s="77">
        <f t="shared" ref="BA38" si="115">SUM(BA36:BA37)</f>
        <v>168</v>
      </c>
      <c r="BB38" s="28">
        <f t="shared" ref="BB38" si="116">SUM(BB35:BB37)</f>
        <v>40071</v>
      </c>
      <c r="BC38" s="285">
        <f t="shared" si="27"/>
        <v>480852</v>
      </c>
    </row>
    <row r="39" spans="1:55" ht="15" thickBot="1" x14ac:dyDescent="0.35">
      <c r="A39" s="573"/>
      <c r="B39" s="339" t="s">
        <v>27</v>
      </c>
      <c r="C39" s="244"/>
      <c r="D39" s="173"/>
      <c r="E39" s="368"/>
      <c r="F39" s="184"/>
      <c r="G39" s="369"/>
      <c r="H39" s="369"/>
      <c r="I39" s="447"/>
      <c r="J39" s="447"/>
      <c r="K39" s="372"/>
      <c r="L39" s="29"/>
      <c r="M39" s="7"/>
      <c r="N39" s="7"/>
      <c r="O39" s="108"/>
      <c r="P39" s="108"/>
      <c r="Q39" s="127"/>
      <c r="R39" s="342" t="s">
        <v>27</v>
      </c>
      <c r="S39" s="25"/>
      <c r="T39" s="78">
        <f>S39*8*S38</f>
        <v>0</v>
      </c>
      <c r="U39" s="13"/>
      <c r="V39" s="25"/>
      <c r="W39" s="78">
        <f t="shared" ref="W39" si="117">V39*8*V38</f>
        <v>0</v>
      </c>
      <c r="X39" s="13"/>
      <c r="Y39" s="25"/>
      <c r="Z39" s="78">
        <f t="shared" ref="Z39" si="118">Y39*8*Y38</f>
        <v>0</v>
      </c>
      <c r="AA39" s="13"/>
      <c r="AB39" s="25"/>
      <c r="AC39" s="78">
        <f t="shared" ref="AC39" si="119">AB39*8*AB38</f>
        <v>0</v>
      </c>
      <c r="AD39" s="13"/>
      <c r="AE39" s="25"/>
      <c r="AF39" s="78">
        <f t="shared" ref="AF39" si="120">AE39*8*AE38</f>
        <v>0</v>
      </c>
      <c r="AG39" s="13"/>
      <c r="AH39" s="25"/>
      <c r="AI39" s="78">
        <f t="shared" ref="AI39" si="121">AH39*8*AH38</f>
        <v>0</v>
      </c>
      <c r="AJ39" s="13"/>
      <c r="AK39" s="25"/>
      <c r="AL39" s="78">
        <f t="shared" ref="AL39" si="122">AK39*8*AK38</f>
        <v>0</v>
      </c>
      <c r="AM39" s="13"/>
      <c r="AN39" s="25"/>
      <c r="AO39" s="78">
        <f t="shared" ref="AO39" si="123">AN39*8*AN38</f>
        <v>0</v>
      </c>
      <c r="AP39" s="13"/>
      <c r="AQ39" s="25"/>
      <c r="AR39" s="78">
        <f t="shared" ref="AR39" si="124">AQ39*8*AQ38</f>
        <v>0</v>
      </c>
      <c r="AS39" s="13"/>
      <c r="AT39" s="25"/>
      <c r="AU39" s="78">
        <f t="shared" ref="AU39" si="125">AT39*8*AT38</f>
        <v>0</v>
      </c>
      <c r="AV39" s="13"/>
      <c r="AW39" s="25"/>
      <c r="AX39" s="78">
        <f t="shared" ref="AX39" si="126">AW39*8*AW38</f>
        <v>0</v>
      </c>
      <c r="AY39" s="13"/>
      <c r="AZ39" s="25"/>
      <c r="BA39" s="78">
        <f t="shared" ref="BA39" si="127">AZ39*8*AZ38</f>
        <v>0</v>
      </c>
      <c r="BB39" s="13"/>
      <c r="BC39" s="344">
        <f>25-(S39+V39+Y39+AB39+AE39+AH39+AK39+AN39+AQ39+AT39+AW39+AZ39)</f>
        <v>25</v>
      </c>
    </row>
    <row r="40" spans="1:55" ht="15" thickBot="1" x14ac:dyDescent="0.35">
      <c r="A40" s="574" t="s">
        <v>68</v>
      </c>
      <c r="B40" s="62" t="s">
        <v>7</v>
      </c>
      <c r="C40" s="220" t="s">
        <v>58</v>
      </c>
      <c r="D40" s="170">
        <v>1</v>
      </c>
      <c r="E40" s="3" t="s">
        <v>1</v>
      </c>
      <c r="F40" s="191" t="s">
        <v>50</v>
      </c>
      <c r="G40" s="132">
        <v>43983</v>
      </c>
      <c r="H40" s="225"/>
      <c r="I40" s="225"/>
      <c r="J40" s="225"/>
      <c r="K40" s="138"/>
      <c r="L40" s="375">
        <v>44805</v>
      </c>
      <c r="M40" s="5">
        <v>45291</v>
      </c>
      <c r="N40" s="107" t="s">
        <v>16</v>
      </c>
      <c r="O40" s="22">
        <f>1453+2906+2906+21795</f>
        <v>29060</v>
      </c>
      <c r="P40" s="22">
        <f>1200+2400+2400+18000</f>
        <v>24000</v>
      </c>
      <c r="Q40" s="23">
        <f>P40+O40</f>
        <v>53060</v>
      </c>
      <c r="R40" s="38" t="s">
        <v>7</v>
      </c>
      <c r="S40" s="118">
        <v>0.05</v>
      </c>
      <c r="T40" s="212">
        <f>(S$9*S40)-(T$43*S40)</f>
        <v>8.8000000000000007</v>
      </c>
      <c r="U40" s="455">
        <f>(1/S$42)*IF(S$8&lt;$M$40,$Q$40,$Q$41)*S40</f>
        <v>2653</v>
      </c>
      <c r="V40" s="118">
        <v>0.05</v>
      </c>
      <c r="W40" s="212">
        <f>(V$9*V40)-(W$43*V40)</f>
        <v>8</v>
      </c>
      <c r="X40" s="455">
        <f>(1/V$42)*IF(V$8&lt;$M$40,$Q$40,$Q$41)*V40</f>
        <v>5306</v>
      </c>
      <c r="Y40" s="118">
        <v>0.05</v>
      </c>
      <c r="Z40" s="212">
        <f>(Y$9*Y40)-(Z$43*Y40)</f>
        <v>9.2000000000000011</v>
      </c>
      <c r="AA40" s="455">
        <f>(1/Y$42)*IF(Y$8&lt;$M$40,$Q$40,$Q$41)*Y40</f>
        <v>5306</v>
      </c>
      <c r="AB40" s="118">
        <v>0.05</v>
      </c>
      <c r="AC40" s="212">
        <f>(AB$9*AB40)-(AC$43*AB40)</f>
        <v>8</v>
      </c>
      <c r="AD40" s="455">
        <f>(1/AB$42)*IF(AB$8&lt;$M$40,$Q$40,$Q$41)*AB40</f>
        <v>5306</v>
      </c>
      <c r="AE40" s="118">
        <v>0.05</v>
      </c>
      <c r="AF40" s="212">
        <f>(AE$9*AE40)-(AF$43*AE40)</f>
        <v>9.2000000000000011</v>
      </c>
      <c r="AG40" s="455">
        <f>(1/AE$42)*IF(AE$8&lt;$M$40,$Q$40,$Q$41)*AE40</f>
        <v>5306</v>
      </c>
      <c r="AH40" s="118">
        <v>0.05</v>
      </c>
      <c r="AI40" s="212">
        <f>(AH$9*AH40)-(AI$43*AH40)</f>
        <v>8.8000000000000007</v>
      </c>
      <c r="AJ40" s="455">
        <f>(1/AH$42)*IF(AH$8&lt;$M$40,$Q$40,$Q$41)*AH40</f>
        <v>5306</v>
      </c>
      <c r="AK40" s="118">
        <v>0.05</v>
      </c>
      <c r="AL40" s="212">
        <f>(AK$9*AK40)-(AL$43*AK40)</f>
        <v>8.4</v>
      </c>
      <c r="AM40" s="455">
        <f>(1/AK$42)*IF(AK$8&lt;$M$40,$Q$40,$Q$41)*AK40</f>
        <v>5306</v>
      </c>
      <c r="AN40" s="118">
        <v>0.05</v>
      </c>
      <c r="AO40" s="212">
        <f>(AN$9*AN40)-(AO$43*AN40)</f>
        <v>9.2000000000000011</v>
      </c>
      <c r="AP40" s="455">
        <f>(1/AN$42)*IF(AN$8&lt;$M$40,$Q$40,$Q$41)*AN40</f>
        <v>5306</v>
      </c>
      <c r="AQ40" s="118">
        <v>0.05</v>
      </c>
      <c r="AR40" s="212">
        <f>(AQ$9*AQ40)-(AR$43*AQ40)</f>
        <v>8.4</v>
      </c>
      <c r="AS40" s="455">
        <f>(1/AQ$42)*IF(AQ$8&lt;$M$40,$Q$40,$Q$41)*AQ40</f>
        <v>5306</v>
      </c>
      <c r="AT40" s="118">
        <v>0.05</v>
      </c>
      <c r="AU40" s="212">
        <f>(AT$9*AT40)-(AU$43*AT40)</f>
        <v>8.8000000000000007</v>
      </c>
      <c r="AV40" s="455">
        <f>(1/AT$42)*IF(AT$8&lt;$M$40,$Q$40,$Q$41)*AT40</f>
        <v>5306</v>
      </c>
      <c r="AW40" s="118">
        <v>0.05</v>
      </c>
      <c r="AX40" s="212">
        <f>(AW$9*AW40)-(AX$43*AW40)</f>
        <v>8.8000000000000007</v>
      </c>
      <c r="AY40" s="455">
        <f>(1/AW$42)*IF(AW$8&lt;$M$40,$Q$40,$Q$41)*AW40</f>
        <v>2653</v>
      </c>
      <c r="AZ40" s="118">
        <v>0.05</v>
      </c>
      <c r="BA40" s="212">
        <f>(AZ$9*AZ40)-(BA$43*AZ40)</f>
        <v>8.4</v>
      </c>
      <c r="BB40" s="455">
        <f>(1/AZ$42)*IF(AZ$8&lt;$M$40,$Q$40,$Q$41)*AZ40</f>
        <v>2653</v>
      </c>
      <c r="BC40" s="285">
        <f t="shared" si="27"/>
        <v>55713</v>
      </c>
    </row>
    <row r="41" spans="1:55" ht="15" thickBot="1" x14ac:dyDescent="0.35">
      <c r="A41" s="572"/>
      <c r="B41" s="63" t="s">
        <v>6</v>
      </c>
      <c r="C41" s="217" t="s">
        <v>58</v>
      </c>
      <c r="D41" s="171"/>
      <c r="E41" s="4"/>
      <c r="F41" s="193" t="s">
        <v>50</v>
      </c>
      <c r="G41" s="10">
        <v>43831</v>
      </c>
      <c r="H41" s="225">
        <v>45230</v>
      </c>
      <c r="I41" s="225"/>
      <c r="J41" s="225"/>
      <c r="K41" s="18"/>
      <c r="L41" s="20"/>
      <c r="M41" s="22"/>
      <c r="N41" s="107"/>
      <c r="O41" s="22"/>
      <c r="P41" s="22"/>
      <c r="Q41" s="23"/>
      <c r="R41" s="39" t="s">
        <v>6</v>
      </c>
      <c r="S41" s="24">
        <v>0.95</v>
      </c>
      <c r="T41" s="117">
        <f>(S$9*S41)-(T$43*S41)</f>
        <v>167.2</v>
      </c>
      <c r="U41" s="456">
        <f>(1/S$42)*IF(S$8&lt;$M$40,$Q$40,$Q$41)*S41</f>
        <v>50407</v>
      </c>
      <c r="V41" s="24">
        <v>0.45</v>
      </c>
      <c r="W41" s="117">
        <f>(V$9*V41)-(W$43*V41)</f>
        <v>72</v>
      </c>
      <c r="X41" s="456">
        <f>(1/V$42)*IF(V$8&lt;$M$40,$Q$40,$Q$41)*V41</f>
        <v>47754</v>
      </c>
      <c r="Y41" s="24">
        <v>0.45</v>
      </c>
      <c r="Z41" s="117">
        <f>(Y$9*Y41)-(Z$43*Y41)</f>
        <v>82.8</v>
      </c>
      <c r="AA41" s="456">
        <f>(1/Y$42)*IF(Y$8&lt;$M$40,$Q$40,$Q$41)*Y41</f>
        <v>47754</v>
      </c>
      <c r="AB41" s="24">
        <v>0.45</v>
      </c>
      <c r="AC41" s="117">
        <f>(AB$9*AB41)-(AC$43*AB41)</f>
        <v>72</v>
      </c>
      <c r="AD41" s="456">
        <f>(1/AB$42)*IF(AB$8&lt;$M$40,$Q$40,$Q$41)*AB41</f>
        <v>47754</v>
      </c>
      <c r="AE41" s="24">
        <v>0.45</v>
      </c>
      <c r="AF41" s="117">
        <f>(AE$9*AE41)-(AF$43*AE41)</f>
        <v>82.8</v>
      </c>
      <c r="AG41" s="456">
        <f>(1/AE$42)*IF(AE$8&lt;$M$40,$Q$40,$Q$41)*AE41</f>
        <v>47754</v>
      </c>
      <c r="AH41" s="24">
        <v>0.45</v>
      </c>
      <c r="AI41" s="117">
        <f>(AH$9*AH41)-(AI$43*AH41)</f>
        <v>79.2</v>
      </c>
      <c r="AJ41" s="456">
        <f>(1/AH$42)*IF(AH$8&lt;$M$40,$Q$40,$Q$41)*AH41</f>
        <v>47754</v>
      </c>
      <c r="AK41" s="24">
        <v>0.45</v>
      </c>
      <c r="AL41" s="117">
        <f>(AK$9*AK41)-(AL$43*AK41)</f>
        <v>75.600000000000009</v>
      </c>
      <c r="AM41" s="456">
        <f>(1/AK$42)*IF(AK$8&lt;$M$40,$Q$40,$Q$41)*AK41</f>
        <v>47754</v>
      </c>
      <c r="AN41" s="24">
        <v>0.45</v>
      </c>
      <c r="AO41" s="117">
        <f>(AN$9*AN41)-(AO$43*AN41)</f>
        <v>82.8</v>
      </c>
      <c r="AP41" s="456">
        <f>(1/AN$42)*IF(AN$8&lt;$M$40,$Q$40,$Q$41)*AN41</f>
        <v>47754</v>
      </c>
      <c r="AQ41" s="24">
        <v>0.45</v>
      </c>
      <c r="AR41" s="117">
        <f>(AQ$9*AQ41)-(AR$43*AQ41)</f>
        <v>75.600000000000009</v>
      </c>
      <c r="AS41" s="456">
        <f>(1/AQ$42)*IF(AQ$8&lt;$M$40,$Q$40,$Q$41)*AQ41</f>
        <v>47754</v>
      </c>
      <c r="AT41" s="24">
        <v>0.45</v>
      </c>
      <c r="AU41" s="117">
        <f>(AT$9*AT41)-(AU$43*AT41)</f>
        <v>79.2</v>
      </c>
      <c r="AV41" s="456">
        <f>(1/AT$42)*IF(AT$8&lt;$M$40,$Q$40,$Q$41)*AT41</f>
        <v>47754</v>
      </c>
      <c r="AW41" s="349">
        <v>0.95</v>
      </c>
      <c r="AX41" s="350"/>
      <c r="AY41" s="461"/>
      <c r="AZ41" s="349">
        <v>0.95</v>
      </c>
      <c r="BA41" s="350"/>
      <c r="BB41" s="461"/>
      <c r="BC41" s="285">
        <f t="shared" si="27"/>
        <v>480193</v>
      </c>
    </row>
    <row r="42" spans="1:55" ht="15" thickBot="1" x14ac:dyDescent="0.35">
      <c r="A42" s="572"/>
      <c r="B42" s="63" t="s">
        <v>36</v>
      </c>
      <c r="C42" s="197"/>
      <c r="D42" s="172"/>
      <c r="E42" s="69"/>
      <c r="F42" s="192"/>
      <c r="G42" s="84"/>
      <c r="H42" s="223"/>
      <c r="I42" s="223"/>
      <c r="J42" s="223"/>
      <c r="K42" s="85"/>
      <c r="L42" s="97"/>
      <c r="M42" s="98"/>
      <c r="N42" s="112"/>
      <c r="O42" s="98"/>
      <c r="P42" s="98"/>
      <c r="Q42" s="137"/>
      <c r="R42" s="39" t="s">
        <v>36</v>
      </c>
      <c r="S42" s="27">
        <f t="shared" ref="S42:BB42" si="128">SUM(S40:S41)</f>
        <v>1</v>
      </c>
      <c r="T42" s="77">
        <f t="shared" si="128"/>
        <v>176</v>
      </c>
      <c r="U42" s="28">
        <f t="shared" si="128"/>
        <v>53060</v>
      </c>
      <c r="V42" s="27">
        <f t="shared" si="128"/>
        <v>0.5</v>
      </c>
      <c r="W42" s="77">
        <f t="shared" si="128"/>
        <v>80</v>
      </c>
      <c r="X42" s="28">
        <f t="shared" si="128"/>
        <v>53060</v>
      </c>
      <c r="Y42" s="27">
        <f t="shared" si="128"/>
        <v>0.5</v>
      </c>
      <c r="Z42" s="77">
        <f t="shared" si="128"/>
        <v>92</v>
      </c>
      <c r="AA42" s="28">
        <f t="shared" si="128"/>
        <v>53060</v>
      </c>
      <c r="AB42" s="27">
        <f t="shared" si="128"/>
        <v>0.5</v>
      </c>
      <c r="AC42" s="77">
        <f t="shared" si="128"/>
        <v>80</v>
      </c>
      <c r="AD42" s="28">
        <f t="shared" si="128"/>
        <v>53060</v>
      </c>
      <c r="AE42" s="27">
        <f t="shared" si="128"/>
        <v>0.5</v>
      </c>
      <c r="AF42" s="77">
        <f t="shared" si="128"/>
        <v>92</v>
      </c>
      <c r="AG42" s="28">
        <f t="shared" si="128"/>
        <v>53060</v>
      </c>
      <c r="AH42" s="27">
        <f t="shared" si="128"/>
        <v>0.5</v>
      </c>
      <c r="AI42" s="77">
        <f t="shared" si="128"/>
        <v>88</v>
      </c>
      <c r="AJ42" s="28">
        <f t="shared" si="128"/>
        <v>53060</v>
      </c>
      <c r="AK42" s="27">
        <f t="shared" si="128"/>
        <v>0.5</v>
      </c>
      <c r="AL42" s="77">
        <f t="shared" si="128"/>
        <v>84.000000000000014</v>
      </c>
      <c r="AM42" s="28">
        <f t="shared" si="128"/>
        <v>53060</v>
      </c>
      <c r="AN42" s="27">
        <f t="shared" si="128"/>
        <v>0.5</v>
      </c>
      <c r="AO42" s="77">
        <f t="shared" si="128"/>
        <v>92</v>
      </c>
      <c r="AP42" s="28">
        <f t="shared" si="128"/>
        <v>53060</v>
      </c>
      <c r="AQ42" s="27">
        <f t="shared" si="128"/>
        <v>0.5</v>
      </c>
      <c r="AR42" s="77">
        <f t="shared" si="128"/>
        <v>84.000000000000014</v>
      </c>
      <c r="AS42" s="28">
        <f t="shared" si="128"/>
        <v>53060</v>
      </c>
      <c r="AT42" s="27">
        <f t="shared" si="128"/>
        <v>0.5</v>
      </c>
      <c r="AU42" s="77">
        <f t="shared" si="128"/>
        <v>88</v>
      </c>
      <c r="AV42" s="28">
        <f t="shared" si="128"/>
        <v>53060</v>
      </c>
      <c r="AW42" s="27">
        <f t="shared" si="128"/>
        <v>1</v>
      </c>
      <c r="AX42" s="77">
        <f t="shared" si="128"/>
        <v>8.8000000000000007</v>
      </c>
      <c r="AY42" s="28">
        <f t="shared" si="128"/>
        <v>2653</v>
      </c>
      <c r="AZ42" s="27">
        <f t="shared" si="128"/>
        <v>1</v>
      </c>
      <c r="BA42" s="77">
        <f t="shared" si="128"/>
        <v>8.4</v>
      </c>
      <c r="BB42" s="28">
        <f t="shared" si="128"/>
        <v>2653</v>
      </c>
      <c r="BC42" s="285">
        <f t="shared" si="27"/>
        <v>535906</v>
      </c>
    </row>
    <row r="43" spans="1:55" ht="15" thickBot="1" x14ac:dyDescent="0.35">
      <c r="A43" s="573"/>
      <c r="B43" s="340" t="s">
        <v>27</v>
      </c>
      <c r="C43" s="157"/>
      <c r="D43" s="173"/>
      <c r="E43" s="6"/>
      <c r="F43" s="175"/>
      <c r="G43" s="8"/>
      <c r="H43" s="224"/>
      <c r="I43" s="224"/>
      <c r="J43" s="224"/>
      <c r="K43" s="16"/>
      <c r="L43" s="29"/>
      <c r="M43" s="108"/>
      <c r="N43" s="111"/>
      <c r="O43" s="108"/>
      <c r="P43" s="108"/>
      <c r="Q43" s="99"/>
      <c r="R43" s="386" t="s">
        <v>27</v>
      </c>
      <c r="S43" s="25"/>
      <c r="T43" s="78">
        <f>S43*8*S42</f>
        <v>0</v>
      </c>
      <c r="U43" s="13"/>
      <c r="V43" s="25"/>
      <c r="W43" s="78">
        <f t="shared" ref="W43" si="129">V43*8*V42</f>
        <v>0</v>
      </c>
      <c r="X43" s="13"/>
      <c r="Y43" s="25"/>
      <c r="Z43" s="78">
        <f t="shared" ref="Z43" si="130">Y43*8*Y42</f>
        <v>0</v>
      </c>
      <c r="AA43" s="13"/>
      <c r="AB43" s="25"/>
      <c r="AC43" s="78">
        <f t="shared" ref="AC43" si="131">AB43*8*AB42</f>
        <v>0</v>
      </c>
      <c r="AD43" s="13"/>
      <c r="AE43" s="25"/>
      <c r="AF43" s="78">
        <f t="shared" ref="AF43" si="132">AE43*8*AE42</f>
        <v>0</v>
      </c>
      <c r="AG43" s="13"/>
      <c r="AH43" s="25"/>
      <c r="AI43" s="78">
        <f t="shared" ref="AI43" si="133">AH43*8*AH42</f>
        <v>0</v>
      </c>
      <c r="AJ43" s="13"/>
      <c r="AK43" s="25"/>
      <c r="AL43" s="78">
        <f t="shared" ref="AL43" si="134">AK43*8*AK42</f>
        <v>0</v>
      </c>
      <c r="AM43" s="13"/>
      <c r="AN43" s="25"/>
      <c r="AO43" s="78">
        <f t="shared" ref="AO43" si="135">AN43*8*AN42</f>
        <v>0</v>
      </c>
      <c r="AP43" s="13"/>
      <c r="AQ43" s="25"/>
      <c r="AR43" s="78">
        <f t="shared" ref="AR43" si="136">AQ43*8*AQ42</f>
        <v>0</v>
      </c>
      <c r="AS43" s="13"/>
      <c r="AT43" s="25"/>
      <c r="AU43" s="78">
        <f t="shared" ref="AU43" si="137">AT43*8*AT42</f>
        <v>0</v>
      </c>
      <c r="AV43" s="13"/>
      <c r="AW43" s="25"/>
      <c r="AX43" s="78">
        <f t="shared" ref="AX43" si="138">AW43*8*AW42</f>
        <v>0</v>
      </c>
      <c r="AY43" s="13"/>
      <c r="AZ43" s="25"/>
      <c r="BA43" s="78">
        <f t="shared" ref="BA43" si="139">AZ43*8*AZ42</f>
        <v>0</v>
      </c>
      <c r="BB43" s="13"/>
      <c r="BC43" s="344">
        <f>25-(S43+V43+Y43+AB43+AE43+AH43+AK43+AN43+AQ43+AT43+AW43+AZ43)</f>
        <v>25</v>
      </c>
    </row>
    <row r="44" spans="1:55" ht="15" thickBot="1" x14ac:dyDescent="0.35">
      <c r="L44" s="202"/>
      <c r="M44" s="202"/>
      <c r="BC44" s="302"/>
    </row>
    <row r="45" spans="1:55" ht="15" thickBot="1" x14ac:dyDescent="0.35">
      <c r="A45" s="291" t="s">
        <v>173</v>
      </c>
      <c r="B45" s="195" t="s">
        <v>6</v>
      </c>
      <c r="C45" s="198" t="s">
        <v>58</v>
      </c>
      <c r="D45" s="199"/>
      <c r="E45" s="143" t="s">
        <v>97</v>
      </c>
      <c r="F45" s="200" t="s">
        <v>4</v>
      </c>
      <c r="G45" s="323">
        <v>44531</v>
      </c>
      <c r="H45" s="324"/>
      <c r="I45" s="324"/>
      <c r="J45" s="478"/>
      <c r="K45" s="230" t="s">
        <v>12</v>
      </c>
      <c r="L45" s="323">
        <v>44531</v>
      </c>
      <c r="M45" s="326">
        <v>45230</v>
      </c>
      <c r="N45" s="332"/>
      <c r="O45" s="327"/>
      <c r="P45" s="327"/>
      <c r="Q45" s="328">
        <v>5000</v>
      </c>
      <c r="R45" s="245" t="s">
        <v>6</v>
      </c>
      <c r="S45" s="254">
        <v>500</v>
      </c>
      <c r="T45" s="255">
        <v>10</v>
      </c>
      <c r="U45" s="206">
        <f t="shared" ref="U45" si="140">S45*T45</f>
        <v>5000</v>
      </c>
      <c r="V45" s="254">
        <v>500</v>
      </c>
      <c r="W45" s="255">
        <v>10</v>
      </c>
      <c r="X45" s="206">
        <f t="shared" ref="X45" si="141">V45*W45</f>
        <v>5000</v>
      </c>
      <c r="Y45" s="254">
        <v>500</v>
      </c>
      <c r="Z45" s="255">
        <v>10</v>
      </c>
      <c r="AA45" s="206">
        <f t="shared" ref="AA45:AA46" si="142">Y45*Z45</f>
        <v>5000</v>
      </c>
      <c r="AB45" s="464"/>
      <c r="AC45" s="465"/>
      <c r="AD45" s="503"/>
      <c r="AE45" s="464"/>
      <c r="AF45" s="465"/>
      <c r="AG45" s="503"/>
      <c r="AH45" s="464"/>
      <c r="AI45" s="465"/>
      <c r="AJ45" s="503"/>
      <c r="AK45" s="464"/>
      <c r="AL45" s="465"/>
      <c r="AM45" s="503"/>
      <c r="AN45" s="464"/>
      <c r="AO45" s="465"/>
      <c r="AP45" s="503"/>
      <c r="AQ45" s="464"/>
      <c r="AR45" s="465"/>
      <c r="AS45" s="503"/>
      <c r="AT45" s="464"/>
      <c r="AU45" s="465"/>
      <c r="AV45" s="503"/>
      <c r="AW45" s="354"/>
      <c r="AX45" s="355"/>
      <c r="AY45" s="388"/>
      <c r="AZ45" s="354"/>
      <c r="BA45" s="355"/>
      <c r="BB45" s="388"/>
      <c r="BC45" s="329">
        <f>SUM(U45,X45,AA45,AD45,AG45,AJ45,AM45,AP45,AS45,AV45,AY45,BB45)</f>
        <v>15000</v>
      </c>
    </row>
    <row r="46" spans="1:55" ht="15" thickBot="1" x14ac:dyDescent="0.35">
      <c r="A46" s="291" t="s">
        <v>172</v>
      </c>
      <c r="B46" s="245" t="s">
        <v>6</v>
      </c>
      <c r="C46" s="319" t="s">
        <v>58</v>
      </c>
      <c r="D46" s="320"/>
      <c r="E46" s="321" t="s">
        <v>149</v>
      </c>
      <c r="F46" s="322" t="s">
        <v>4</v>
      </c>
      <c r="G46" s="323">
        <v>44531</v>
      </c>
      <c r="H46" s="324"/>
      <c r="I46" s="324"/>
      <c r="J46" s="478"/>
      <c r="K46" s="310" t="s">
        <v>13</v>
      </c>
      <c r="L46" s="326">
        <v>44531</v>
      </c>
      <c r="M46" s="326">
        <v>45230</v>
      </c>
      <c r="N46" s="321"/>
      <c r="O46" s="327"/>
      <c r="P46" s="327"/>
      <c r="Q46" s="328">
        <v>10000</v>
      </c>
      <c r="R46" s="245" t="s">
        <v>6</v>
      </c>
      <c r="S46" s="254">
        <v>500</v>
      </c>
      <c r="T46" s="255">
        <v>20</v>
      </c>
      <c r="U46" s="206">
        <f t="shared" ref="U46:U47" si="143">S46*T46</f>
        <v>10000</v>
      </c>
      <c r="V46" s="254">
        <v>500</v>
      </c>
      <c r="W46" s="255">
        <v>20</v>
      </c>
      <c r="X46" s="206">
        <f t="shared" ref="X46:X49" si="144">V46*W46</f>
        <v>10000</v>
      </c>
      <c r="Y46" s="254">
        <v>500</v>
      </c>
      <c r="Z46" s="255">
        <v>20</v>
      </c>
      <c r="AA46" s="206">
        <f t="shared" si="142"/>
        <v>10000</v>
      </c>
      <c r="AB46" s="354"/>
      <c r="AC46" s="355"/>
      <c r="AD46" s="388"/>
      <c r="AE46" s="354"/>
      <c r="AF46" s="355"/>
      <c r="AG46" s="388"/>
      <c r="AH46" s="354"/>
      <c r="AI46" s="355"/>
      <c r="AJ46" s="388"/>
      <c r="AK46" s="354"/>
      <c r="AL46" s="355"/>
      <c r="AM46" s="388"/>
      <c r="AN46" s="354"/>
      <c r="AO46" s="355"/>
      <c r="AP46" s="388"/>
      <c r="AQ46" s="354"/>
      <c r="AR46" s="355"/>
      <c r="AS46" s="388"/>
      <c r="AT46" s="354"/>
      <c r="AU46" s="355"/>
      <c r="AV46" s="388"/>
      <c r="AW46" s="354"/>
      <c r="AX46" s="355"/>
      <c r="AY46" s="388"/>
      <c r="AZ46" s="354"/>
      <c r="BA46" s="355"/>
      <c r="BB46" s="388"/>
      <c r="BC46" s="329">
        <f>SUM(U46,X46,AA46,AD46,AG46,AJ46,AM46,AP46,AS46,AV46,AY46,BB46)</f>
        <v>30000</v>
      </c>
    </row>
    <row r="47" spans="1:55" ht="15" thickBot="1" x14ac:dyDescent="0.35">
      <c r="A47" s="194" t="s">
        <v>168</v>
      </c>
      <c r="B47" s="195" t="s">
        <v>6</v>
      </c>
      <c r="C47" s="198" t="s">
        <v>58</v>
      </c>
      <c r="D47" s="199"/>
      <c r="E47" s="143" t="s">
        <v>97</v>
      </c>
      <c r="F47" s="200" t="s">
        <v>4</v>
      </c>
      <c r="G47" s="323">
        <v>44501</v>
      </c>
      <c r="H47" s="229"/>
      <c r="I47" s="229"/>
      <c r="J47" s="229"/>
      <c r="K47" s="230" t="s">
        <v>12</v>
      </c>
      <c r="L47" s="323">
        <v>44501</v>
      </c>
      <c r="M47" s="326">
        <v>45230</v>
      </c>
      <c r="N47" s="317"/>
      <c r="O47" s="144"/>
      <c r="P47" s="144"/>
      <c r="Q47" s="203">
        <v>5000</v>
      </c>
      <c r="R47" s="204" t="s">
        <v>6</v>
      </c>
      <c r="S47" s="254">
        <v>500</v>
      </c>
      <c r="T47" s="255">
        <v>10</v>
      </c>
      <c r="U47" s="280">
        <f t="shared" si="143"/>
        <v>5000</v>
      </c>
      <c r="V47" s="254">
        <v>500</v>
      </c>
      <c r="W47" s="255">
        <v>10</v>
      </c>
      <c r="X47" s="280">
        <f t="shared" si="144"/>
        <v>5000</v>
      </c>
      <c r="Y47" s="254">
        <v>500</v>
      </c>
      <c r="Z47" s="255">
        <v>10</v>
      </c>
      <c r="AA47" s="280">
        <f t="shared" ref="AA47:AA49" si="145">Y47*Z47</f>
        <v>5000</v>
      </c>
      <c r="AB47" s="464"/>
      <c r="AC47" s="465"/>
      <c r="AD47" s="503"/>
      <c r="AE47" s="464"/>
      <c r="AF47" s="465"/>
      <c r="AG47" s="503"/>
      <c r="AH47" s="464"/>
      <c r="AI47" s="465"/>
      <c r="AJ47" s="503"/>
      <c r="AK47" s="464"/>
      <c r="AL47" s="465"/>
      <c r="AM47" s="503"/>
      <c r="AN47" s="464"/>
      <c r="AO47" s="465"/>
      <c r="AP47" s="503"/>
      <c r="AQ47" s="464"/>
      <c r="AR47" s="465"/>
      <c r="AS47" s="503"/>
      <c r="AT47" s="464"/>
      <c r="AU47" s="465"/>
      <c r="AV47" s="503"/>
      <c r="AW47" s="354"/>
      <c r="AX47" s="355"/>
      <c r="AY47" s="388"/>
      <c r="AZ47" s="354"/>
      <c r="BA47" s="355"/>
      <c r="BB47" s="388"/>
      <c r="BC47" s="285">
        <f t="shared" ref="BC47:BC49" si="146">SUM(U47,X47,AA47,AD47,AG47,AJ47,AM47,AP47,AS47,AV47,AY47,BB47)</f>
        <v>15000</v>
      </c>
    </row>
    <row r="48" spans="1:55" ht="15" thickBot="1" x14ac:dyDescent="0.35">
      <c r="A48" s="535" t="s">
        <v>138</v>
      </c>
      <c r="B48" s="195" t="s">
        <v>6</v>
      </c>
      <c r="C48" s="198" t="s">
        <v>58</v>
      </c>
      <c r="D48" s="199"/>
      <c r="E48" s="143" t="s">
        <v>97</v>
      </c>
      <c r="F48" s="200" t="s">
        <v>4</v>
      </c>
      <c r="G48" s="201">
        <v>44927</v>
      </c>
      <c r="H48" s="229"/>
      <c r="I48" s="229"/>
      <c r="J48" s="229"/>
      <c r="K48" s="230" t="s">
        <v>12</v>
      </c>
      <c r="L48" s="318">
        <v>44927</v>
      </c>
      <c r="M48" s="326">
        <v>45230</v>
      </c>
      <c r="N48" s="317"/>
      <c r="O48" s="144"/>
      <c r="P48" s="144"/>
      <c r="Q48" s="203">
        <v>5000</v>
      </c>
      <c r="R48" s="204" t="s">
        <v>6</v>
      </c>
      <c r="S48" s="254">
        <v>500</v>
      </c>
      <c r="T48" s="255">
        <v>10</v>
      </c>
      <c r="U48" s="280">
        <f t="shared" ref="U48" si="147">S48*T48</f>
        <v>5000</v>
      </c>
      <c r="V48" s="254">
        <v>500</v>
      </c>
      <c r="W48" s="255">
        <v>10</v>
      </c>
      <c r="X48" s="280">
        <f t="shared" si="144"/>
        <v>5000</v>
      </c>
      <c r="Y48" s="254">
        <v>500</v>
      </c>
      <c r="Z48" s="255">
        <v>10</v>
      </c>
      <c r="AA48" s="280">
        <f t="shared" si="145"/>
        <v>5000</v>
      </c>
      <c r="AB48" s="254">
        <v>500</v>
      </c>
      <c r="AC48" s="255">
        <v>10</v>
      </c>
      <c r="AD48" s="280">
        <f t="shared" ref="AD48:AD50" si="148">AB48*AC48</f>
        <v>5000</v>
      </c>
      <c r="AE48" s="254">
        <v>500</v>
      </c>
      <c r="AF48" s="255">
        <v>10</v>
      </c>
      <c r="AG48" s="280">
        <f t="shared" ref="AG48:AG50" si="149">AE48*AF48</f>
        <v>5000</v>
      </c>
      <c r="AH48" s="254">
        <v>500</v>
      </c>
      <c r="AI48" s="255">
        <v>10</v>
      </c>
      <c r="AJ48" s="280">
        <f t="shared" ref="AJ48:AJ50" si="150">AH48*AI48</f>
        <v>5000</v>
      </c>
      <c r="AK48" s="254">
        <v>500</v>
      </c>
      <c r="AL48" s="255">
        <v>10</v>
      </c>
      <c r="AM48" s="280">
        <f t="shared" ref="AM48:AM50" si="151">AK48*AL48</f>
        <v>5000</v>
      </c>
      <c r="AN48" s="254">
        <v>500</v>
      </c>
      <c r="AO48" s="255">
        <v>10</v>
      </c>
      <c r="AP48" s="280">
        <f t="shared" ref="AP48:AP50" si="152">AN48*AO48</f>
        <v>5000</v>
      </c>
      <c r="AQ48" s="254">
        <v>500</v>
      </c>
      <c r="AR48" s="255">
        <v>10</v>
      </c>
      <c r="AS48" s="280">
        <f t="shared" ref="AS48:AS50" si="153">AQ48*AR48</f>
        <v>5000</v>
      </c>
      <c r="AT48" s="254">
        <v>500</v>
      </c>
      <c r="AU48" s="255">
        <v>10</v>
      </c>
      <c r="AV48" s="280">
        <f t="shared" ref="AV48:AV50" si="154">AT48*AU48</f>
        <v>5000</v>
      </c>
      <c r="AW48" s="354"/>
      <c r="AX48" s="355"/>
      <c r="AY48" s="388"/>
      <c r="AZ48" s="533"/>
      <c r="BA48" s="534"/>
      <c r="BB48" s="387"/>
      <c r="BC48" s="285">
        <f t="shared" si="146"/>
        <v>50000</v>
      </c>
    </row>
    <row r="49" spans="1:55" ht="15" thickBot="1" x14ac:dyDescent="0.35">
      <c r="A49" s="194" t="s">
        <v>163</v>
      </c>
      <c r="B49" s="195" t="s">
        <v>6</v>
      </c>
      <c r="C49" s="198" t="s">
        <v>58</v>
      </c>
      <c r="D49" s="199"/>
      <c r="E49" s="143" t="s">
        <v>99</v>
      </c>
      <c r="F49" s="200" t="s">
        <v>4</v>
      </c>
      <c r="G49" s="201">
        <v>44927</v>
      </c>
      <c r="H49" s="229"/>
      <c r="I49" s="229"/>
      <c r="J49" s="229"/>
      <c r="K49" s="230" t="s">
        <v>12</v>
      </c>
      <c r="L49" s="318">
        <v>44927</v>
      </c>
      <c r="M49" s="326">
        <v>45230</v>
      </c>
      <c r="N49" s="317"/>
      <c r="O49" s="144"/>
      <c r="P49" s="144"/>
      <c r="Q49" s="203">
        <v>5000</v>
      </c>
      <c r="R49" s="204" t="s">
        <v>6</v>
      </c>
      <c r="S49" s="254">
        <v>500</v>
      </c>
      <c r="T49" s="255">
        <v>10</v>
      </c>
      <c r="U49" s="280">
        <f t="shared" ref="U49" si="155">S49*T49</f>
        <v>5000</v>
      </c>
      <c r="V49" s="254">
        <v>500</v>
      </c>
      <c r="W49" s="255">
        <v>10</v>
      </c>
      <c r="X49" s="280">
        <f t="shared" si="144"/>
        <v>5000</v>
      </c>
      <c r="Y49" s="254">
        <v>500</v>
      </c>
      <c r="Z49" s="255">
        <v>10</v>
      </c>
      <c r="AA49" s="280">
        <f t="shared" si="145"/>
        <v>5000</v>
      </c>
      <c r="AB49" s="254">
        <v>500</v>
      </c>
      <c r="AC49" s="255">
        <v>10</v>
      </c>
      <c r="AD49" s="280">
        <f t="shared" si="148"/>
        <v>5000</v>
      </c>
      <c r="AE49" s="254">
        <v>500</v>
      </c>
      <c r="AF49" s="255">
        <v>10</v>
      </c>
      <c r="AG49" s="280">
        <f t="shared" si="149"/>
        <v>5000</v>
      </c>
      <c r="AH49" s="254">
        <v>500</v>
      </c>
      <c r="AI49" s="255">
        <v>10</v>
      </c>
      <c r="AJ49" s="280">
        <f t="shared" si="150"/>
        <v>5000</v>
      </c>
      <c r="AK49" s="254">
        <v>500</v>
      </c>
      <c r="AL49" s="255">
        <v>10</v>
      </c>
      <c r="AM49" s="280">
        <f t="shared" si="151"/>
        <v>5000</v>
      </c>
      <c r="AN49" s="254">
        <v>500</v>
      </c>
      <c r="AO49" s="255">
        <v>10</v>
      </c>
      <c r="AP49" s="280">
        <f t="shared" si="152"/>
        <v>5000</v>
      </c>
      <c r="AQ49" s="254">
        <v>500</v>
      </c>
      <c r="AR49" s="255">
        <v>10</v>
      </c>
      <c r="AS49" s="280">
        <f t="shared" si="153"/>
        <v>5000</v>
      </c>
      <c r="AT49" s="254">
        <v>500</v>
      </c>
      <c r="AU49" s="255">
        <v>10</v>
      </c>
      <c r="AV49" s="280">
        <f t="shared" si="154"/>
        <v>5000</v>
      </c>
      <c r="AW49" s="354"/>
      <c r="AX49" s="355"/>
      <c r="AY49" s="355"/>
      <c r="AZ49" s="354"/>
      <c r="BA49" s="355"/>
      <c r="BB49" s="355"/>
      <c r="BC49" s="285">
        <f t="shared" si="146"/>
        <v>50000</v>
      </c>
    </row>
    <row r="50" spans="1:55" ht="15" thickBot="1" x14ac:dyDescent="0.35">
      <c r="A50" s="194" t="s">
        <v>71</v>
      </c>
      <c r="B50" s="195" t="s">
        <v>6</v>
      </c>
      <c r="C50" s="198" t="s">
        <v>58</v>
      </c>
      <c r="D50" s="199"/>
      <c r="E50" s="143" t="s">
        <v>96</v>
      </c>
      <c r="F50" s="200" t="s">
        <v>4</v>
      </c>
      <c r="G50" s="201">
        <v>44136</v>
      </c>
      <c r="H50" s="229"/>
      <c r="I50" s="229"/>
      <c r="J50" s="229"/>
      <c r="K50" s="230" t="s">
        <v>12</v>
      </c>
      <c r="L50" s="318">
        <v>44136</v>
      </c>
      <c r="M50" s="326">
        <v>45230</v>
      </c>
      <c r="N50" s="317"/>
      <c r="O50" s="144"/>
      <c r="P50" s="144"/>
      <c r="Q50" s="203">
        <v>5000</v>
      </c>
      <c r="R50" s="195" t="s">
        <v>6</v>
      </c>
      <c r="S50" s="254">
        <v>500</v>
      </c>
      <c r="T50" s="255">
        <v>10</v>
      </c>
      <c r="U50" s="280">
        <f t="shared" ref="U50:U54" si="156">S50*T50</f>
        <v>5000</v>
      </c>
      <c r="V50" s="254">
        <v>500</v>
      </c>
      <c r="W50" s="255">
        <v>10</v>
      </c>
      <c r="X50" s="280">
        <f t="shared" ref="X50:X54" si="157">V50*W50</f>
        <v>5000</v>
      </c>
      <c r="Y50" s="254">
        <v>500</v>
      </c>
      <c r="Z50" s="255">
        <v>10</v>
      </c>
      <c r="AA50" s="280">
        <f t="shared" ref="AA50:AA54" si="158">Y50*Z50</f>
        <v>5000</v>
      </c>
      <c r="AB50" s="254">
        <v>500</v>
      </c>
      <c r="AC50" s="255">
        <v>10</v>
      </c>
      <c r="AD50" s="280">
        <f t="shared" si="148"/>
        <v>5000</v>
      </c>
      <c r="AE50" s="254">
        <v>500</v>
      </c>
      <c r="AF50" s="255">
        <v>10</v>
      </c>
      <c r="AG50" s="280">
        <f t="shared" si="149"/>
        <v>5000</v>
      </c>
      <c r="AH50" s="254">
        <v>500</v>
      </c>
      <c r="AI50" s="255">
        <v>10</v>
      </c>
      <c r="AJ50" s="280">
        <f t="shared" si="150"/>
        <v>5000</v>
      </c>
      <c r="AK50" s="254">
        <v>500</v>
      </c>
      <c r="AL50" s="255">
        <v>10</v>
      </c>
      <c r="AM50" s="280">
        <f t="shared" si="151"/>
        <v>5000</v>
      </c>
      <c r="AN50" s="254">
        <v>500</v>
      </c>
      <c r="AO50" s="255">
        <v>10</v>
      </c>
      <c r="AP50" s="280">
        <f t="shared" si="152"/>
        <v>5000</v>
      </c>
      <c r="AQ50" s="254">
        <v>500</v>
      </c>
      <c r="AR50" s="255">
        <v>10</v>
      </c>
      <c r="AS50" s="280">
        <f t="shared" si="153"/>
        <v>5000</v>
      </c>
      <c r="AT50" s="254">
        <v>500</v>
      </c>
      <c r="AU50" s="255">
        <v>10</v>
      </c>
      <c r="AV50" s="280">
        <f t="shared" si="154"/>
        <v>5000</v>
      </c>
      <c r="AW50" s="354"/>
      <c r="AX50" s="355"/>
      <c r="AY50" s="388"/>
      <c r="AZ50" s="533"/>
      <c r="BA50" s="534"/>
      <c r="BB50" s="387"/>
      <c r="BC50" s="285">
        <f t="shared" ref="BC50:BC51" si="159">SUM(U50,X50,AA50,AD50,AG50,AJ50,AM50,AP50,AS50,AV50,AY50,BB50)</f>
        <v>50000</v>
      </c>
    </row>
    <row r="51" spans="1:55" ht="15" thickBot="1" x14ac:dyDescent="0.35">
      <c r="A51" s="194" t="s">
        <v>120</v>
      </c>
      <c r="B51" s="195" t="s">
        <v>6</v>
      </c>
      <c r="C51" s="198" t="s">
        <v>58</v>
      </c>
      <c r="D51" s="199"/>
      <c r="E51" s="143" t="s">
        <v>97</v>
      </c>
      <c r="F51" s="200" t="s">
        <v>4</v>
      </c>
      <c r="G51" s="201">
        <v>44197</v>
      </c>
      <c r="H51" s="229"/>
      <c r="I51" s="229"/>
      <c r="J51" s="229"/>
      <c r="K51" s="230" t="s">
        <v>12</v>
      </c>
      <c r="L51" s="318">
        <v>44197</v>
      </c>
      <c r="M51" s="326">
        <v>45230</v>
      </c>
      <c r="N51" s="317"/>
      <c r="O51" s="144"/>
      <c r="P51" s="144"/>
      <c r="Q51" s="203">
        <v>5000</v>
      </c>
      <c r="R51" s="195" t="s">
        <v>6</v>
      </c>
      <c r="S51" s="268">
        <v>500</v>
      </c>
      <c r="T51" s="269">
        <v>10</v>
      </c>
      <c r="U51" s="275">
        <f t="shared" si="156"/>
        <v>5000</v>
      </c>
      <c r="V51" s="268">
        <v>500</v>
      </c>
      <c r="W51" s="269">
        <v>10</v>
      </c>
      <c r="X51" s="275">
        <f t="shared" si="157"/>
        <v>5000</v>
      </c>
      <c r="Y51" s="268">
        <v>500</v>
      </c>
      <c r="Z51" s="269">
        <v>10</v>
      </c>
      <c r="AA51" s="275">
        <f t="shared" si="158"/>
        <v>5000</v>
      </c>
      <c r="AB51" s="268">
        <v>500</v>
      </c>
      <c r="AC51" s="269">
        <v>10</v>
      </c>
      <c r="AD51" s="275">
        <f t="shared" ref="AD51" si="160">AB51*AC51</f>
        <v>5000</v>
      </c>
      <c r="AE51" s="268">
        <v>500</v>
      </c>
      <c r="AF51" s="269">
        <v>10</v>
      </c>
      <c r="AG51" s="275">
        <f t="shared" ref="AG51" si="161">AE51*AF51</f>
        <v>5000</v>
      </c>
      <c r="AH51" s="268">
        <v>500</v>
      </c>
      <c r="AI51" s="269">
        <v>10</v>
      </c>
      <c r="AJ51" s="275">
        <f t="shared" ref="AJ51" si="162">AH51*AI51</f>
        <v>5000</v>
      </c>
      <c r="AK51" s="268">
        <v>500</v>
      </c>
      <c r="AL51" s="269">
        <v>10</v>
      </c>
      <c r="AM51" s="275">
        <f t="shared" ref="AM51" si="163">AK51*AL51</f>
        <v>5000</v>
      </c>
      <c r="AN51" s="268">
        <v>500</v>
      </c>
      <c r="AO51" s="269">
        <v>10</v>
      </c>
      <c r="AP51" s="275">
        <f t="shared" ref="AP51" si="164">AN51*AO51</f>
        <v>5000</v>
      </c>
      <c r="AQ51" s="268">
        <v>500</v>
      </c>
      <c r="AR51" s="269">
        <v>10</v>
      </c>
      <c r="AS51" s="275">
        <f t="shared" ref="AS51" si="165">AQ51*AR51</f>
        <v>5000</v>
      </c>
      <c r="AT51" s="268">
        <v>500</v>
      </c>
      <c r="AU51" s="269">
        <v>10</v>
      </c>
      <c r="AV51" s="275">
        <f t="shared" ref="AV51" si="166">AT51*AU51</f>
        <v>5000</v>
      </c>
      <c r="AW51" s="354"/>
      <c r="AX51" s="355"/>
      <c r="AY51" s="388"/>
      <c r="AZ51" s="533"/>
      <c r="BA51" s="534"/>
      <c r="BB51" s="387"/>
      <c r="BC51" s="348">
        <f t="shared" si="159"/>
        <v>50000</v>
      </c>
    </row>
    <row r="52" spans="1:55" ht="15" thickBot="1" x14ac:dyDescent="0.35">
      <c r="A52" s="194" t="s">
        <v>144</v>
      </c>
      <c r="B52" s="195" t="s">
        <v>8</v>
      </c>
      <c r="C52" s="198" t="s">
        <v>58</v>
      </c>
      <c r="D52" s="199"/>
      <c r="E52" s="143" t="s">
        <v>156</v>
      </c>
      <c r="F52" s="200" t="s">
        <v>5</v>
      </c>
      <c r="G52" s="201">
        <v>44197</v>
      </c>
      <c r="H52" s="229"/>
      <c r="I52" s="229"/>
      <c r="J52" s="229"/>
      <c r="K52" s="230" t="s">
        <v>12</v>
      </c>
      <c r="L52" s="318">
        <v>44197</v>
      </c>
      <c r="M52" s="318">
        <v>45291</v>
      </c>
      <c r="N52" s="317"/>
      <c r="O52" s="144"/>
      <c r="P52" s="144"/>
      <c r="Q52" s="203">
        <v>17500</v>
      </c>
      <c r="R52" s="204" t="s">
        <v>8</v>
      </c>
      <c r="S52" s="254">
        <v>500</v>
      </c>
      <c r="T52" s="255">
        <v>35</v>
      </c>
      <c r="U52" s="280">
        <f t="shared" si="156"/>
        <v>17500</v>
      </c>
      <c r="V52" s="254">
        <v>500</v>
      </c>
      <c r="W52" s="255">
        <v>35</v>
      </c>
      <c r="X52" s="280">
        <f t="shared" si="157"/>
        <v>17500</v>
      </c>
      <c r="Y52" s="254">
        <v>500</v>
      </c>
      <c r="Z52" s="255">
        <v>35</v>
      </c>
      <c r="AA52" s="280">
        <f t="shared" si="158"/>
        <v>17500</v>
      </c>
      <c r="AB52" s="254">
        <v>500</v>
      </c>
      <c r="AC52" s="255">
        <v>35</v>
      </c>
      <c r="AD52" s="280">
        <f t="shared" ref="AD52:AD54" si="167">AB52*AC52</f>
        <v>17500</v>
      </c>
      <c r="AE52" s="254">
        <v>500</v>
      </c>
      <c r="AF52" s="255">
        <v>35</v>
      </c>
      <c r="AG52" s="280">
        <f t="shared" ref="AG52:AG54" si="168">AE52*AF52</f>
        <v>17500</v>
      </c>
      <c r="AH52" s="254">
        <v>500</v>
      </c>
      <c r="AI52" s="255">
        <v>35</v>
      </c>
      <c r="AJ52" s="280">
        <f t="shared" ref="AJ52:AJ54" si="169">AH52*AI52</f>
        <v>17500</v>
      </c>
      <c r="AK52" s="254">
        <v>500</v>
      </c>
      <c r="AL52" s="255">
        <v>35</v>
      </c>
      <c r="AM52" s="280">
        <f t="shared" ref="AM52:AM54" si="170">AK52*AL52</f>
        <v>17500</v>
      </c>
      <c r="AN52" s="254">
        <v>500</v>
      </c>
      <c r="AO52" s="255">
        <v>35</v>
      </c>
      <c r="AP52" s="280">
        <f t="shared" ref="AP52:AP54" si="171">AN52*AO52</f>
        <v>17500</v>
      </c>
      <c r="AQ52" s="254">
        <v>500</v>
      </c>
      <c r="AR52" s="255">
        <v>35</v>
      </c>
      <c r="AS52" s="280">
        <f t="shared" ref="AS52:AS54" si="172">AQ52*AR52</f>
        <v>17500</v>
      </c>
      <c r="AT52" s="254">
        <v>500</v>
      </c>
      <c r="AU52" s="255">
        <v>35</v>
      </c>
      <c r="AV52" s="280">
        <f t="shared" ref="AV52" si="173">AT52*AU52</f>
        <v>17500</v>
      </c>
      <c r="AW52" s="254">
        <v>500</v>
      </c>
      <c r="AX52" s="255">
        <v>35</v>
      </c>
      <c r="AY52" s="280">
        <f t="shared" ref="AY52" si="174">AW52*AX52</f>
        <v>17500</v>
      </c>
      <c r="AZ52" s="254">
        <v>500</v>
      </c>
      <c r="BA52" s="255">
        <v>35</v>
      </c>
      <c r="BB52" s="280">
        <f t="shared" ref="BB52" si="175">AZ52*BA52</f>
        <v>17500</v>
      </c>
      <c r="BC52" s="285">
        <f>SUM(U52,X52,AA52,AD52,AG52,AJ52,AM52,AP52,AS52,AV52,AY52,BB52)</f>
        <v>210000</v>
      </c>
    </row>
    <row r="53" spans="1:55" ht="15" thickBot="1" x14ac:dyDescent="0.35">
      <c r="A53" s="194" t="s">
        <v>186</v>
      </c>
      <c r="B53" s="195" t="s">
        <v>155</v>
      </c>
      <c r="C53" s="198" t="s">
        <v>58</v>
      </c>
      <c r="D53" s="199"/>
      <c r="E53" s="143" t="s">
        <v>187</v>
      </c>
      <c r="F53" s="200" t="s">
        <v>4</v>
      </c>
      <c r="G53" s="201">
        <v>44713</v>
      </c>
      <c r="H53" s="229"/>
      <c r="I53" s="229"/>
      <c r="J53" s="229"/>
      <c r="K53" s="230" t="s">
        <v>12</v>
      </c>
      <c r="L53" s="318">
        <v>44713</v>
      </c>
      <c r="M53" s="318">
        <v>45199</v>
      </c>
      <c r="N53" s="317"/>
      <c r="O53" s="144"/>
      <c r="P53" s="144"/>
      <c r="Q53" s="203">
        <v>5000</v>
      </c>
      <c r="R53" s="204" t="s">
        <v>155</v>
      </c>
      <c r="S53" s="254">
        <v>500</v>
      </c>
      <c r="T53" s="255">
        <v>10</v>
      </c>
      <c r="U53" s="280">
        <f t="shared" ref="U53" si="176">S53*T53</f>
        <v>5000</v>
      </c>
      <c r="V53" s="254">
        <v>500</v>
      </c>
      <c r="W53" s="255">
        <v>10</v>
      </c>
      <c r="X53" s="280">
        <f t="shared" si="157"/>
        <v>5000</v>
      </c>
      <c r="Y53" s="254">
        <v>500</v>
      </c>
      <c r="Z53" s="255">
        <v>10</v>
      </c>
      <c r="AA53" s="280">
        <f t="shared" si="158"/>
        <v>5000</v>
      </c>
      <c r="AB53" s="254">
        <v>500</v>
      </c>
      <c r="AC53" s="255">
        <v>10</v>
      </c>
      <c r="AD53" s="280">
        <f t="shared" si="167"/>
        <v>5000</v>
      </c>
      <c r="AE53" s="254">
        <v>500</v>
      </c>
      <c r="AF53" s="255">
        <v>10</v>
      </c>
      <c r="AG53" s="280">
        <f t="shared" si="168"/>
        <v>5000</v>
      </c>
      <c r="AH53" s="254">
        <v>500</v>
      </c>
      <c r="AI53" s="255">
        <v>10</v>
      </c>
      <c r="AJ53" s="280">
        <f t="shared" si="169"/>
        <v>5000</v>
      </c>
      <c r="AK53" s="254">
        <v>500</v>
      </c>
      <c r="AL53" s="255">
        <v>10</v>
      </c>
      <c r="AM53" s="280">
        <f t="shared" si="170"/>
        <v>5000</v>
      </c>
      <c r="AN53" s="254">
        <v>500</v>
      </c>
      <c r="AO53" s="255">
        <v>10</v>
      </c>
      <c r="AP53" s="280">
        <f t="shared" si="171"/>
        <v>5000</v>
      </c>
      <c r="AQ53" s="254">
        <v>500</v>
      </c>
      <c r="AR53" s="255">
        <v>10</v>
      </c>
      <c r="AS53" s="280">
        <f t="shared" si="172"/>
        <v>5000</v>
      </c>
      <c r="AT53" s="354"/>
      <c r="AU53" s="355"/>
      <c r="AV53" s="388"/>
      <c r="AW53" s="354"/>
      <c r="AX53" s="355"/>
      <c r="AY53" s="388"/>
      <c r="AZ53" s="354"/>
      <c r="BA53" s="355"/>
      <c r="BB53" s="388"/>
      <c r="BC53" s="285">
        <f>SUM(U53,X53,AA53,AD53,AG53,AJ53,AM53,AP53,AS53,AV53,AY53,BB53)</f>
        <v>45000</v>
      </c>
    </row>
    <row r="54" spans="1:55" ht="15" thickBot="1" x14ac:dyDescent="0.35">
      <c r="A54" s="194" t="s">
        <v>170</v>
      </c>
      <c r="B54" s="195" t="s">
        <v>155</v>
      </c>
      <c r="C54" s="198" t="s">
        <v>58</v>
      </c>
      <c r="D54" s="199"/>
      <c r="E54" s="143" t="s">
        <v>171</v>
      </c>
      <c r="F54" s="200" t="s">
        <v>4</v>
      </c>
      <c r="G54" s="201">
        <v>44562</v>
      </c>
      <c r="H54" s="229"/>
      <c r="I54" s="229"/>
      <c r="J54" s="229"/>
      <c r="K54" s="230" t="s">
        <v>12</v>
      </c>
      <c r="L54" s="318">
        <v>44562</v>
      </c>
      <c r="M54" s="318">
        <v>45199</v>
      </c>
      <c r="N54" s="317"/>
      <c r="O54" s="144"/>
      <c r="P54" s="144"/>
      <c r="Q54" s="203">
        <v>5000</v>
      </c>
      <c r="R54" s="204" t="s">
        <v>155</v>
      </c>
      <c r="S54" s="254">
        <v>500</v>
      </c>
      <c r="T54" s="255">
        <v>10</v>
      </c>
      <c r="U54" s="280">
        <f t="shared" si="156"/>
        <v>5000</v>
      </c>
      <c r="V54" s="254">
        <v>500</v>
      </c>
      <c r="W54" s="255">
        <v>10</v>
      </c>
      <c r="X54" s="280">
        <f t="shared" si="157"/>
        <v>5000</v>
      </c>
      <c r="Y54" s="254">
        <v>500</v>
      </c>
      <c r="Z54" s="255">
        <v>10</v>
      </c>
      <c r="AA54" s="280">
        <f t="shared" si="158"/>
        <v>5000</v>
      </c>
      <c r="AB54" s="254">
        <v>500</v>
      </c>
      <c r="AC54" s="255">
        <v>10</v>
      </c>
      <c r="AD54" s="280">
        <f t="shared" si="167"/>
        <v>5000</v>
      </c>
      <c r="AE54" s="254">
        <v>500</v>
      </c>
      <c r="AF54" s="255">
        <v>10</v>
      </c>
      <c r="AG54" s="280">
        <f t="shared" si="168"/>
        <v>5000</v>
      </c>
      <c r="AH54" s="254">
        <v>500</v>
      </c>
      <c r="AI54" s="255">
        <v>10</v>
      </c>
      <c r="AJ54" s="280">
        <f t="shared" si="169"/>
        <v>5000</v>
      </c>
      <c r="AK54" s="254">
        <v>500</v>
      </c>
      <c r="AL54" s="255">
        <v>10</v>
      </c>
      <c r="AM54" s="280">
        <f t="shared" si="170"/>
        <v>5000</v>
      </c>
      <c r="AN54" s="254">
        <v>500</v>
      </c>
      <c r="AO54" s="255">
        <v>10</v>
      </c>
      <c r="AP54" s="280">
        <f t="shared" si="171"/>
        <v>5000</v>
      </c>
      <c r="AQ54" s="254">
        <v>500</v>
      </c>
      <c r="AR54" s="255">
        <v>10</v>
      </c>
      <c r="AS54" s="280">
        <f t="shared" si="172"/>
        <v>5000</v>
      </c>
      <c r="AT54" s="354"/>
      <c r="AU54" s="355"/>
      <c r="AV54" s="388"/>
      <c r="AW54" s="354"/>
      <c r="AX54" s="355"/>
      <c r="AY54" s="388"/>
      <c r="AZ54" s="354"/>
      <c r="BA54" s="355"/>
      <c r="BB54" s="388"/>
      <c r="BC54" s="285">
        <f>SUM(U54,X54,AA54,AD54,AG54,AJ54,AM54,AP54,AS54,AV54,AY54,BB54)</f>
        <v>45000</v>
      </c>
    </row>
  </sheetData>
  <mergeCells count="46">
    <mergeCell ref="AW9:AY9"/>
    <mergeCell ref="AZ9:BB9"/>
    <mergeCell ref="A15:A18"/>
    <mergeCell ref="A27:A30"/>
    <mergeCell ref="A19:A22"/>
    <mergeCell ref="L8:Q9"/>
    <mergeCell ref="R8:R10"/>
    <mergeCell ref="S8:U8"/>
    <mergeCell ref="V8:X8"/>
    <mergeCell ref="Y8:AA8"/>
    <mergeCell ref="AB8:AD8"/>
    <mergeCell ref="AQ9:AS9"/>
    <mergeCell ref="AQ8:AS8"/>
    <mergeCell ref="AT8:AV8"/>
    <mergeCell ref="AE8:AG8"/>
    <mergeCell ref="AH8:AJ8"/>
    <mergeCell ref="A31:A34"/>
    <mergeCell ref="A40:A43"/>
    <mergeCell ref="A36:A39"/>
    <mergeCell ref="AK9:AM9"/>
    <mergeCell ref="AN9:AP9"/>
    <mergeCell ref="A11:A14"/>
    <mergeCell ref="A23:A26"/>
    <mergeCell ref="AK8:AM8"/>
    <mergeCell ref="AN8:AP8"/>
    <mergeCell ref="V9:X9"/>
    <mergeCell ref="Y9:AA9"/>
    <mergeCell ref="AB9:AD9"/>
    <mergeCell ref="AE9:AG9"/>
    <mergeCell ref="AH9:AJ9"/>
    <mergeCell ref="AT9:AV9"/>
    <mergeCell ref="AZ1:BB1"/>
    <mergeCell ref="S1:U1"/>
    <mergeCell ref="V1:X1"/>
    <mergeCell ref="Y1:AA1"/>
    <mergeCell ref="AB1:AD1"/>
    <mergeCell ref="AE1:AG1"/>
    <mergeCell ref="AH1:AJ1"/>
    <mergeCell ref="AK1:AM1"/>
    <mergeCell ref="AN1:AP1"/>
    <mergeCell ref="AQ1:AS1"/>
    <mergeCell ref="AT1:AV1"/>
    <mergeCell ref="AW1:AY1"/>
    <mergeCell ref="AW8:AY8"/>
    <mergeCell ref="AZ8:BB8"/>
    <mergeCell ref="S9:U9"/>
  </mergeCells>
  <conditionalFormatting sqref="S33:T33 S35:BB35 S18:U18 S19:BB19 S21:BB22 AT20:BB20 S11:BB14 V33:W33 Y33:Z33 AB33:AC33 AE33:AF33 AH33:AI33 AK33:AL33 AN33:AO33 AQ33:AR33 AT33:AU33 S40:BB42 S27:BB29 AW48:AY48 BB48 BB50:BB51 AW50:AY51">
    <cfRule type="cellIs" dxfId="319" priority="689" operator="lessThan">
      <formula>0.05</formula>
    </cfRule>
  </conditionalFormatting>
  <conditionalFormatting sqref="N35:Q35 L13:Q14 M50:Q50 L37:Q39 L17:Q18">
    <cfRule type="containsBlanks" dxfId="318" priority="688">
      <formula>LEN(TRIM(L13))=0</formula>
    </cfRule>
  </conditionalFormatting>
  <conditionalFormatting sqref="S34 V34 Y34 AB34 AE34 AH34 AK34 AN34 AQ34 AT34">
    <cfRule type="containsBlanks" dxfId="317" priority="680">
      <formula>LEN(TRIM(S34))=0</formula>
    </cfRule>
  </conditionalFormatting>
  <conditionalFormatting sqref="U43">
    <cfRule type="containsBlanks" dxfId="316" priority="686">
      <formula>LEN(TRIM(U43))=0</formula>
    </cfRule>
    <cfRule type="containsBlanks" dxfId="315" priority="687">
      <formula>LEN(TRIM(U43))=0</formula>
    </cfRule>
  </conditionalFormatting>
  <conditionalFormatting sqref="U43">
    <cfRule type="containsBlanks" dxfId="314" priority="685">
      <formula>LEN(TRIM(U43))=0</formula>
    </cfRule>
  </conditionalFormatting>
  <conditionalFormatting sqref="S34:AV34">
    <cfRule type="cellIs" dxfId="313" priority="684" operator="lessThan">
      <formula>0.05</formula>
    </cfRule>
  </conditionalFormatting>
  <conditionalFormatting sqref="S34:AV34">
    <cfRule type="containsBlanks" dxfId="312" priority="682">
      <formula>LEN(TRIM(S34))=0</formula>
    </cfRule>
    <cfRule type="containsBlanks" dxfId="311" priority="683">
      <formula>LEN(TRIM(S34))=0</formula>
    </cfRule>
  </conditionalFormatting>
  <conditionalFormatting sqref="S34:AV34">
    <cfRule type="containsBlanks" dxfId="310" priority="681">
      <formula>LEN(TRIM(S34))=0</formula>
    </cfRule>
  </conditionalFormatting>
  <conditionalFormatting sqref="S30:BB30">
    <cfRule type="cellIs" dxfId="309" priority="679" operator="lessThan">
      <formula>0.05</formula>
    </cfRule>
  </conditionalFormatting>
  <conditionalFormatting sqref="S30:BB30">
    <cfRule type="containsBlanks" dxfId="308" priority="677">
      <formula>LEN(TRIM(S30))=0</formula>
    </cfRule>
    <cfRule type="containsBlanks" dxfId="307" priority="678">
      <formula>LEN(TRIM(S30))=0</formula>
    </cfRule>
  </conditionalFormatting>
  <conditionalFormatting sqref="S30:BB30">
    <cfRule type="containsBlanks" dxfId="306" priority="676">
      <formula>LEN(TRIM(S30))=0</formula>
    </cfRule>
  </conditionalFormatting>
  <conditionalFormatting sqref="S30 V30 Y30 AB30 AE30 AH30 AK30 AN30 AQ30 AT30 AW30 AZ30">
    <cfRule type="containsBlanks" dxfId="305" priority="675">
      <formula>LEN(TRIM(S30))=0</formula>
    </cfRule>
  </conditionalFormatting>
  <conditionalFormatting sqref="AK22 AQ22 AW22 AN22 AT22 AZ22 S22 V22 Y22 AB22 AE22 AH22">
    <cfRule type="containsBlanks" dxfId="304" priority="674">
      <formula>LEN(TRIM(S22))=0</formula>
    </cfRule>
  </conditionalFormatting>
  <conditionalFormatting sqref="S18">
    <cfRule type="containsBlanks" dxfId="303" priority="673">
      <formula>LEN(TRIM(S18))=0</formula>
    </cfRule>
  </conditionalFormatting>
  <conditionalFormatting sqref="S18">
    <cfRule type="containsBlanks" dxfId="302" priority="672">
      <formula>LEN(TRIM(S18))=0</formula>
    </cfRule>
  </conditionalFormatting>
  <conditionalFormatting sqref="N20:Q22">
    <cfRule type="containsBlanks" dxfId="301" priority="670">
      <formula>LEN(TRIM(N20))=0</formula>
    </cfRule>
  </conditionalFormatting>
  <conditionalFormatting sqref="L20:M22">
    <cfRule type="containsBlanks" dxfId="300" priority="669">
      <formula>LEN(TRIM(L20))=0</formula>
    </cfRule>
  </conditionalFormatting>
  <conditionalFormatting sqref="N28:Q30">
    <cfRule type="containsBlanks" dxfId="299" priority="668">
      <formula>LEN(TRIM(N28))=0</formula>
    </cfRule>
  </conditionalFormatting>
  <conditionalFormatting sqref="L28:M30">
    <cfRule type="containsBlanks" dxfId="298" priority="667">
      <formula>LEN(TRIM(L28))=0</formula>
    </cfRule>
  </conditionalFormatting>
  <conditionalFormatting sqref="N32:Q32">
    <cfRule type="containsBlanks" dxfId="297" priority="662">
      <formula>LEN(TRIM(N32))=0</formula>
    </cfRule>
  </conditionalFormatting>
  <conditionalFormatting sqref="L32:M32">
    <cfRule type="containsBlanks" dxfId="296" priority="661">
      <formula>LEN(TRIM(L32))=0</formula>
    </cfRule>
  </conditionalFormatting>
  <conditionalFormatting sqref="L35:M35">
    <cfRule type="containsBlanks" dxfId="295" priority="660">
      <formula>LEN(TRIM(L35))=0</formula>
    </cfRule>
  </conditionalFormatting>
  <conditionalFormatting sqref="L35:M35">
    <cfRule type="containsBlanks" dxfId="294" priority="659">
      <formula>LEN(TRIM(L35))=0</formula>
    </cfRule>
  </conditionalFormatting>
  <conditionalFormatting sqref="N42:Q43">
    <cfRule type="containsBlanks" dxfId="293" priority="656">
      <formula>LEN(TRIM(N42))=0</formula>
    </cfRule>
  </conditionalFormatting>
  <conditionalFormatting sqref="L42:M43">
    <cfRule type="containsBlanks" dxfId="292" priority="655">
      <formula>LEN(TRIM(L42))=0</formula>
    </cfRule>
  </conditionalFormatting>
  <conditionalFormatting sqref="L33:Q34">
    <cfRule type="containsBlanks" dxfId="291" priority="649">
      <formula>LEN(TRIM(L33))=0</formula>
    </cfRule>
  </conditionalFormatting>
  <conditionalFormatting sqref="U18">
    <cfRule type="cellIs" dxfId="290" priority="648" operator="lessThan">
      <formula>0.05</formula>
    </cfRule>
  </conditionalFormatting>
  <conditionalFormatting sqref="U18">
    <cfRule type="containsBlanks" dxfId="289" priority="646">
      <formula>LEN(TRIM(U18))=0</formula>
    </cfRule>
    <cfRule type="containsBlanks" dxfId="288" priority="647">
      <formula>LEN(TRIM(U18))=0</formula>
    </cfRule>
  </conditionalFormatting>
  <conditionalFormatting sqref="AM22 AS22 AY22 AP22 AV22 BB22 U22 X22 AA22 AD22 AG22 AJ22">
    <cfRule type="cellIs" dxfId="287" priority="645" operator="lessThan">
      <formula>0.05</formula>
    </cfRule>
  </conditionalFormatting>
  <conditionalFormatting sqref="AM22 AS22 AY22 AP22 AV22 BB22 U22 X22 AA22 AD22 AG22 AJ22">
    <cfRule type="containsBlanks" dxfId="286" priority="643">
      <formula>LEN(TRIM(U22))=0</formula>
    </cfRule>
    <cfRule type="containsBlanks" dxfId="285" priority="644">
      <formula>LEN(TRIM(U22))=0</formula>
    </cfRule>
  </conditionalFormatting>
  <conditionalFormatting sqref="S43:T43">
    <cfRule type="cellIs" dxfId="284" priority="641" operator="lessThan">
      <formula>0.05</formula>
    </cfRule>
  </conditionalFormatting>
  <conditionalFormatting sqref="S43:T43">
    <cfRule type="containsBlanks" dxfId="283" priority="639">
      <formula>LEN(TRIM(S43))=0</formula>
    </cfRule>
    <cfRule type="containsBlanks" dxfId="282" priority="640">
      <formula>LEN(TRIM(S43))=0</formula>
    </cfRule>
  </conditionalFormatting>
  <conditionalFormatting sqref="S43:T43">
    <cfRule type="containsBlanks" dxfId="281" priority="638">
      <formula>LEN(TRIM(S43))=0</formula>
    </cfRule>
  </conditionalFormatting>
  <conditionalFormatting sqref="S43">
    <cfRule type="containsBlanks" dxfId="280" priority="637">
      <formula>LEN(TRIM(S43))=0</formula>
    </cfRule>
  </conditionalFormatting>
  <conditionalFormatting sqref="S15:T16 S17:U17">
    <cfRule type="cellIs" dxfId="279" priority="622" operator="lessThan">
      <formula>0.05</formula>
    </cfRule>
  </conditionalFormatting>
  <conditionalFormatting sqref="L16:M16">
    <cfRule type="containsBlanks" dxfId="278" priority="624">
      <formula>LEN(TRIM(L16))=0</formula>
    </cfRule>
  </conditionalFormatting>
  <conditionalFormatting sqref="N16:Q16">
    <cfRule type="containsBlanks" dxfId="277" priority="623">
      <formula>LEN(TRIM(N16))=0</formula>
    </cfRule>
  </conditionalFormatting>
  <conditionalFormatting sqref="U33 X33 AA33 AD33 AG33 AJ33 AM33 AP33 AS33 AV33">
    <cfRule type="cellIs" dxfId="276" priority="608" operator="lessThan">
      <formula>0.05</formula>
    </cfRule>
  </conditionalFormatting>
  <conditionalFormatting sqref="S31:AV32">
    <cfRule type="cellIs" dxfId="275" priority="610" operator="lessThan">
      <formula>0.05</formula>
    </cfRule>
  </conditionalFormatting>
  <conditionalFormatting sqref="U33 X33 AA33 AD33 AG33 AJ33 AM33 AP33 AS33 AV33">
    <cfRule type="containsBlanks" dxfId="274" priority="607">
      <formula>LEN(TRIM(U33))=0</formula>
    </cfRule>
  </conditionalFormatting>
  <conditionalFormatting sqref="N41:Q41">
    <cfRule type="containsBlanks" dxfId="273" priority="603">
      <formula>LEN(TRIM(N41))=0</formula>
    </cfRule>
  </conditionalFormatting>
  <conditionalFormatting sqref="L41:M41">
    <cfRule type="containsBlanks" dxfId="272" priority="602">
      <formula>LEN(TRIM(L41))=0</formula>
    </cfRule>
  </conditionalFormatting>
  <conditionalFormatting sqref="S36:S37 V36:V37 Y36:Y37 AB36:AB37 AE36:AE37 AH36:AH37 AK36:AK37 AN36:AN37 AQ36:AQ37 AT36:AT37 AW36:AW37 AZ36:AZ37">
    <cfRule type="cellIs" dxfId="271" priority="471" operator="lessThan">
      <formula>0.05</formula>
    </cfRule>
  </conditionalFormatting>
  <conditionalFormatting sqref="U38 X38 AA38 AD38 AG38 AJ38 AM38 AP38 AS38 AV38 AY38 BB38">
    <cfRule type="containsBlanks" dxfId="270" priority="458">
      <formula>LEN(TRIM(U38))=0</formula>
    </cfRule>
  </conditionalFormatting>
  <conditionalFormatting sqref="S39 V39 Y39 AB39 AE39 AH39 AK39 AN39 AQ39 AT39 AW39 AZ39">
    <cfRule type="containsBlanks" dxfId="269" priority="461">
      <formula>LEN(TRIM(S39))=0</formula>
    </cfRule>
  </conditionalFormatting>
  <conditionalFormatting sqref="S39:BB39">
    <cfRule type="cellIs" dxfId="268" priority="465" operator="lessThan">
      <formula>0.05</formula>
    </cfRule>
  </conditionalFormatting>
  <conditionalFormatting sqref="S39:BB39">
    <cfRule type="containsBlanks" dxfId="267" priority="463">
      <formula>LEN(TRIM(S39))=0</formula>
    </cfRule>
    <cfRule type="containsBlanks" dxfId="266" priority="464">
      <formula>LEN(TRIM(S39))=0</formula>
    </cfRule>
  </conditionalFormatting>
  <conditionalFormatting sqref="S39:BB39">
    <cfRule type="containsBlanks" dxfId="265" priority="462">
      <formula>LEN(TRIM(S39))=0</formula>
    </cfRule>
  </conditionalFormatting>
  <conditionalFormatting sqref="S38:T38 V38:W38 Y38:Z38 AB38:AC38 AE38:AF38 AH38:AI38 AK38:AL38 AN38:AO38 AQ38:AR38 AT38:AU38 AW38:AX38 AZ38:BA38">
    <cfRule type="cellIs" dxfId="264" priority="460" operator="lessThan">
      <formula>0.05</formula>
    </cfRule>
  </conditionalFormatting>
  <conditionalFormatting sqref="U38 X38 AA38 AD38 AG38 AJ38 AM38 AP38 AS38 AV38 AY38 BB38">
    <cfRule type="cellIs" dxfId="263" priority="459" operator="lessThan">
      <formula>0.05</formula>
    </cfRule>
  </conditionalFormatting>
  <conditionalFormatting sqref="T36:U37 W36:X37 Z36:AA37 AC36:AD37 AF36:AG37 AI36:AJ37 AL36:AM37 AO36:AP37 AR36:AS37 AU36:AV37 AX36:AY37 BA36:BB37">
    <cfRule type="cellIs" dxfId="262" priority="457" operator="lessThan">
      <formula>0.05</formula>
    </cfRule>
  </conditionalFormatting>
  <conditionalFormatting sqref="U50">
    <cfRule type="containsBlanks" dxfId="261" priority="438">
      <formula>LEN(TRIM(U50))=0</formula>
    </cfRule>
  </conditionalFormatting>
  <conditionalFormatting sqref="U50">
    <cfRule type="containsBlanks" dxfId="260" priority="436">
      <formula>LEN(TRIM(U50))=0</formula>
    </cfRule>
    <cfRule type="containsBlanks" dxfId="259" priority="437">
      <formula>LEN(TRIM(U50))=0</formula>
    </cfRule>
  </conditionalFormatting>
  <conditionalFormatting sqref="S50">
    <cfRule type="cellIs" dxfId="258" priority="435" operator="lessThan">
      <formula>0.05</formula>
    </cfRule>
  </conditionalFormatting>
  <conditionalFormatting sqref="T50">
    <cfRule type="cellIs" dxfId="257" priority="434" operator="lessThan">
      <formula>0.05</formula>
    </cfRule>
  </conditionalFormatting>
  <conditionalFormatting sqref="X50 AA50">
    <cfRule type="containsBlanks" dxfId="256" priority="376">
      <formula>LEN(TRIM(X50))=0</formula>
    </cfRule>
  </conditionalFormatting>
  <conditionalFormatting sqref="X50 AA50">
    <cfRule type="containsBlanks" dxfId="255" priority="374">
      <formula>LEN(TRIM(X50))=0</formula>
    </cfRule>
    <cfRule type="containsBlanks" dxfId="254" priority="375">
      <formula>LEN(TRIM(X50))=0</formula>
    </cfRule>
  </conditionalFormatting>
  <conditionalFormatting sqref="V50 Y50 AZ48 AZ50:AZ51">
    <cfRule type="cellIs" dxfId="253" priority="373" operator="lessThan">
      <formula>0.05</formula>
    </cfRule>
  </conditionalFormatting>
  <conditionalFormatting sqref="W50 Z50 BA48 BA50:BA51">
    <cfRule type="cellIs" dxfId="252" priority="372" operator="lessThan">
      <formula>0.05</formula>
    </cfRule>
  </conditionalFormatting>
  <conditionalFormatting sqref="V18:BB18">
    <cfRule type="cellIs" dxfId="251" priority="294" operator="lessThan">
      <formula>0.05</formula>
    </cfRule>
  </conditionalFormatting>
  <conditionalFormatting sqref="V18 Y18 AB18 AE18 AH18 AK18 AN18 AQ18 AT18 AW18 AZ18">
    <cfRule type="containsBlanks" dxfId="250" priority="293">
      <formula>LEN(TRIM(V18))=0</formula>
    </cfRule>
  </conditionalFormatting>
  <conditionalFormatting sqref="V18 Y18 AB18 AE18 AH18 AK18 AN18 AQ18 AT18 AW18 AZ18">
    <cfRule type="containsBlanks" dxfId="249" priority="292">
      <formula>LEN(TRIM(V18))=0</formula>
    </cfRule>
  </conditionalFormatting>
  <conditionalFormatting sqref="X18 AA18 AD18 AG18 AJ18 AM18 AP18 AS18 AV18 AY18 BB18">
    <cfRule type="cellIs" dxfId="248" priority="291" operator="lessThan">
      <formula>0.05</formula>
    </cfRule>
  </conditionalFormatting>
  <conditionalFormatting sqref="X18 AA18 AD18 AG18 AJ18 AM18 AP18 AS18 AV18 AY18 BB18">
    <cfRule type="containsBlanks" dxfId="247" priority="289">
      <formula>LEN(TRIM(X18))=0</formula>
    </cfRule>
    <cfRule type="containsBlanks" dxfId="246" priority="290">
      <formula>LEN(TRIM(X18))=0</formula>
    </cfRule>
  </conditionalFormatting>
  <conditionalFormatting sqref="V15:W16 Y15:Z16 AB15:AC16 AE15:AF16 AH15:AI16 AK15:AL16 AN15:AO16 AQ15:AR16 AT15:AU16 AW15:AX16 AZ15:BA16 V17:BB17">
    <cfRule type="cellIs" dxfId="245" priority="288" operator="lessThan">
      <formula>0.05</formula>
    </cfRule>
  </conditionalFormatting>
  <conditionalFormatting sqref="AW33:AX33 AZ33:BA33">
    <cfRule type="cellIs" dxfId="244" priority="276" operator="lessThan">
      <formula>0.05</formula>
    </cfRule>
  </conditionalFormatting>
  <conditionalFormatting sqref="AW34 AZ34">
    <cfRule type="containsBlanks" dxfId="243" priority="271">
      <formula>LEN(TRIM(AW34))=0</formula>
    </cfRule>
  </conditionalFormatting>
  <conditionalFormatting sqref="AW34:BB34">
    <cfRule type="cellIs" dxfId="242" priority="275" operator="lessThan">
      <formula>0.05</formula>
    </cfRule>
  </conditionalFormatting>
  <conditionalFormatting sqref="AW34:BB34">
    <cfRule type="containsBlanks" dxfId="241" priority="273">
      <formula>LEN(TRIM(AW34))=0</formula>
    </cfRule>
    <cfRule type="containsBlanks" dxfId="240" priority="274">
      <formula>LEN(TRIM(AW34))=0</formula>
    </cfRule>
  </conditionalFormatting>
  <conditionalFormatting sqref="AW34:BB34">
    <cfRule type="containsBlanks" dxfId="239" priority="272">
      <formula>LEN(TRIM(AW34))=0</formula>
    </cfRule>
  </conditionalFormatting>
  <conditionalFormatting sqref="AY33 BB33">
    <cfRule type="cellIs" dxfId="238" priority="268" operator="lessThan">
      <formula>0.05</formula>
    </cfRule>
  </conditionalFormatting>
  <conditionalFormatting sqref="AW31:BB32">
    <cfRule type="cellIs" dxfId="237" priority="270" operator="lessThan">
      <formula>0.05</formula>
    </cfRule>
  </conditionalFormatting>
  <conditionalFormatting sqref="AY33 BB33">
    <cfRule type="containsBlanks" dxfId="236" priority="267">
      <formula>LEN(TRIM(AY33))=0</formula>
    </cfRule>
  </conditionalFormatting>
  <conditionalFormatting sqref="X43 AA43 AD43 AG43 AJ43 AM43 AP43 AS43 AV43 AY43 BB43">
    <cfRule type="containsBlanks" dxfId="235" priority="254">
      <formula>LEN(TRIM(X43))=0</formula>
    </cfRule>
    <cfRule type="containsBlanks" dxfId="234" priority="255">
      <formula>LEN(TRIM(X43))=0</formula>
    </cfRule>
  </conditionalFormatting>
  <conditionalFormatting sqref="X43 AA43 AD43 AG43 AJ43 AM43 AP43 AS43 AV43 AY43 BB43">
    <cfRule type="containsBlanks" dxfId="233" priority="253">
      <formula>LEN(TRIM(X43))=0</formula>
    </cfRule>
  </conditionalFormatting>
  <conditionalFormatting sqref="V43:W43 Y43:Z43 AB43:AC43 AE43:AF43 AH43:AI43 AK43:AL43 AN43:AO43 AQ43:AR43 AT43:AU43 AW43:AX43 AZ43:BA43">
    <cfRule type="cellIs" dxfId="232" priority="252" operator="lessThan">
      <formula>0.05</formula>
    </cfRule>
  </conditionalFormatting>
  <conditionalFormatting sqref="V43:W43 Y43:Z43 AB43:AC43 AE43:AF43 AH43:AI43 AK43:AL43 AN43:AO43 AQ43:AR43 AT43:AU43 AW43:AX43 AZ43:BA43">
    <cfRule type="containsBlanks" dxfId="231" priority="250">
      <formula>LEN(TRIM(V43))=0</formula>
    </cfRule>
    <cfRule type="containsBlanks" dxfId="230" priority="251">
      <formula>LEN(TRIM(V43))=0</formula>
    </cfRule>
  </conditionalFormatting>
  <conditionalFormatting sqref="V43:W43 Y43:Z43 AB43:AC43 AE43:AF43 AH43:AI43 AK43:AL43 AN43:AO43 AQ43:AR43 AT43:AU43 AW43:AX43 AZ43:BA43">
    <cfRule type="containsBlanks" dxfId="229" priority="249">
      <formula>LEN(TRIM(V43))=0</formula>
    </cfRule>
  </conditionalFormatting>
  <conditionalFormatting sqref="V43 Y43 AB43 AE43 AH43 AK43 AN43 AQ43 AT43 AW43 AZ43">
    <cfRule type="containsBlanks" dxfId="228" priority="248">
      <formula>LEN(TRIM(V43))=0</formula>
    </cfRule>
  </conditionalFormatting>
  <conditionalFormatting sqref="U52">
    <cfRule type="containsBlanks" dxfId="227" priority="244">
      <formula>LEN(TRIM(U52))=0</formula>
    </cfRule>
  </conditionalFormatting>
  <conditionalFormatting sqref="U52">
    <cfRule type="containsBlanks" dxfId="226" priority="242">
      <formula>LEN(TRIM(U52))=0</formula>
    </cfRule>
    <cfRule type="containsBlanks" dxfId="225" priority="243">
      <formula>LEN(TRIM(U52))=0</formula>
    </cfRule>
  </conditionalFormatting>
  <conditionalFormatting sqref="N52:Q52">
    <cfRule type="containsBlanks" dxfId="224" priority="241">
      <formula>LEN(TRIM(N52))=0</formula>
    </cfRule>
  </conditionalFormatting>
  <conditionalFormatting sqref="S52">
    <cfRule type="cellIs" dxfId="223" priority="240" operator="lessThan">
      <formula>0.05</formula>
    </cfRule>
  </conditionalFormatting>
  <conditionalFormatting sqref="T52">
    <cfRule type="cellIs" dxfId="222" priority="239" operator="lessThan">
      <formula>0.05</formula>
    </cfRule>
  </conditionalFormatting>
  <conditionalFormatting sqref="L52:M52">
    <cfRule type="containsBlanks" dxfId="221" priority="238">
      <formula>LEN(TRIM(L52))=0</formula>
    </cfRule>
  </conditionalFormatting>
  <conditionalFormatting sqref="L52:M52">
    <cfRule type="containsBlanks" dxfId="220" priority="237">
      <formula>LEN(TRIM(L52))=0</formula>
    </cfRule>
  </conditionalFormatting>
  <conditionalFormatting sqref="X52 AA52 AD52 AG52 AJ52 AM52 AP52 AS52 AV52 AY52 BB52">
    <cfRule type="containsBlanks" dxfId="219" priority="236">
      <formula>LEN(TRIM(X52))=0</formula>
    </cfRule>
  </conditionalFormatting>
  <conditionalFormatting sqref="X52 AA52 AD52 AG52 AJ52 AM52 AP52 AS52 AV52 AY52 BB52">
    <cfRule type="containsBlanks" dxfId="218" priority="234">
      <formula>LEN(TRIM(X52))=0</formula>
    </cfRule>
    <cfRule type="containsBlanks" dxfId="217" priority="235">
      <formula>LEN(TRIM(X52))=0</formula>
    </cfRule>
  </conditionalFormatting>
  <conditionalFormatting sqref="V52 Y52 AB52 AE52 AH52 AK52 AN52 AQ52 AT52 AW52 AZ52">
    <cfRule type="cellIs" dxfId="216" priority="233" operator="lessThan">
      <formula>0.05</formula>
    </cfRule>
  </conditionalFormatting>
  <conditionalFormatting sqref="W52 Z52 AC52 AF52 AI52 AL52 AO52 AR52 AU52 AX52 BA52">
    <cfRule type="cellIs" dxfId="215" priority="232" operator="lessThan">
      <formula>0.05</formula>
    </cfRule>
  </conditionalFormatting>
  <conditionalFormatting sqref="S14 V14 Y14 AE14 AK14 AQ14 AW14 AB14 AH14 AN14 AT14 AZ14">
    <cfRule type="containsBlanks" dxfId="214" priority="230">
      <formula>LEN(TRIM(S14))=0</formula>
    </cfRule>
  </conditionalFormatting>
  <conditionalFormatting sqref="U14 X14 AA14 AG14 AM14 AS14 AY14 AD14 AJ14 AP14 AV14 BB14">
    <cfRule type="cellIs" dxfId="213" priority="226" operator="lessThan">
      <formula>0.05</formula>
    </cfRule>
  </conditionalFormatting>
  <conditionalFormatting sqref="U14 X14 AA14 AG14 AM14 AS14 AY14 AD14 AJ14 AP14 AV14 BB14">
    <cfRule type="containsBlanks" dxfId="212" priority="224">
      <formula>LEN(TRIM(U14))=0</formula>
    </cfRule>
    <cfRule type="containsBlanks" dxfId="211" priority="225">
      <formula>LEN(TRIM(U14))=0</formula>
    </cfRule>
  </conditionalFormatting>
  <conditionalFormatting sqref="V54 Y54 AB54 AE54 AH54 AK54 AN54 AQ54">
    <cfRule type="cellIs" dxfId="210" priority="209" operator="lessThan">
      <formula>0.05</formula>
    </cfRule>
  </conditionalFormatting>
  <conditionalFormatting sqref="U53:U54 X53 AA53 AD53 AG53">
    <cfRule type="containsBlanks" dxfId="209" priority="220">
      <formula>LEN(TRIM(U53))=0</formula>
    </cfRule>
  </conditionalFormatting>
  <conditionalFormatting sqref="U53:U54 X53 AA53 AD53 AG53">
    <cfRule type="containsBlanks" dxfId="208" priority="218">
      <formula>LEN(TRIM(U53))=0</formula>
    </cfRule>
    <cfRule type="containsBlanks" dxfId="207" priority="219">
      <formula>LEN(TRIM(U53))=0</formula>
    </cfRule>
  </conditionalFormatting>
  <conditionalFormatting sqref="N54:Q54">
    <cfRule type="containsBlanks" dxfId="206" priority="217">
      <formula>LEN(TRIM(N54))=0</formula>
    </cfRule>
  </conditionalFormatting>
  <conditionalFormatting sqref="S53:S54 V53 Y53 AB53 AE53">
    <cfRule type="cellIs" dxfId="205" priority="216" operator="lessThan">
      <formula>0.05</formula>
    </cfRule>
  </conditionalFormatting>
  <conditionalFormatting sqref="T53:T54 W53 Z53 AC53 AF53">
    <cfRule type="cellIs" dxfId="204" priority="215" operator="lessThan">
      <formula>0.05</formula>
    </cfRule>
  </conditionalFormatting>
  <conditionalFormatting sqref="L54:M54">
    <cfRule type="containsBlanks" dxfId="203" priority="214">
      <formula>LEN(TRIM(L54))=0</formula>
    </cfRule>
  </conditionalFormatting>
  <conditionalFormatting sqref="L54:M54">
    <cfRule type="containsBlanks" dxfId="202" priority="213">
      <formula>LEN(TRIM(L54))=0</formula>
    </cfRule>
  </conditionalFormatting>
  <conditionalFormatting sqref="X54 AA54 AD54 AG54 AJ54 AM54 AP54 AS54">
    <cfRule type="containsBlanks" dxfId="201" priority="212">
      <formula>LEN(TRIM(X54))=0</formula>
    </cfRule>
  </conditionalFormatting>
  <conditionalFormatting sqref="X54 AA54 AD54 AG54 AJ54 AM54 AP54 AS54">
    <cfRule type="containsBlanks" dxfId="200" priority="210">
      <formula>LEN(TRIM(X54))=0</formula>
    </cfRule>
    <cfRule type="containsBlanks" dxfId="199" priority="211">
      <formula>LEN(TRIM(X54))=0</formula>
    </cfRule>
  </conditionalFormatting>
  <conditionalFormatting sqref="W54 Z54 AC54 AF54 AI54 AL54 AO54 AR54">
    <cfRule type="cellIs" dxfId="198" priority="208" operator="lessThan">
      <formula>0.05</formula>
    </cfRule>
  </conditionalFormatting>
  <conditionalFormatting sqref="AT53:AT54 AW53:AW54 AZ53:AZ54">
    <cfRule type="cellIs" dxfId="197" priority="207" operator="lessThan">
      <formula>0.05</formula>
    </cfRule>
  </conditionalFormatting>
  <conditionalFormatting sqref="AU53:AU54 AX53:AX54 BA53:BA54">
    <cfRule type="cellIs" dxfId="196" priority="206" operator="lessThan">
      <formula>0.05</formula>
    </cfRule>
  </conditionalFormatting>
  <conditionalFormatting sqref="AV53:AV54 AY53:AY54 BB53:BB54">
    <cfRule type="cellIs" dxfId="195" priority="205" operator="lessThan">
      <formula>0.05</formula>
    </cfRule>
  </conditionalFormatting>
  <conditionalFormatting sqref="L46 N46:Q46">
    <cfRule type="containsBlanks" dxfId="194" priority="204">
      <formula>LEN(TRIM(L46))=0</formula>
    </cfRule>
  </conditionalFormatting>
  <conditionalFormatting sqref="U46">
    <cfRule type="containsBlanks" dxfId="193" priority="201">
      <formula>LEN(TRIM(U46))=0</formula>
    </cfRule>
    <cfRule type="containsBlanks" dxfId="192" priority="202">
      <formula>LEN(TRIM(U46))=0</formula>
    </cfRule>
  </conditionalFormatting>
  <conditionalFormatting sqref="U46">
    <cfRule type="containsBlanks" dxfId="191" priority="203">
      <formula>LEN(TRIM(U46))=0</formula>
    </cfRule>
  </conditionalFormatting>
  <conditionalFormatting sqref="S46">
    <cfRule type="cellIs" dxfId="190" priority="200" operator="lessThan">
      <formula>0.05</formula>
    </cfRule>
  </conditionalFormatting>
  <conditionalFormatting sqref="T46">
    <cfRule type="cellIs" dxfId="189" priority="199" operator="lessThan">
      <formula>0.05</formula>
    </cfRule>
  </conditionalFormatting>
  <conditionalFormatting sqref="X46">
    <cfRule type="containsBlanks" dxfId="188" priority="188">
      <formula>LEN(TRIM(X46))=0</formula>
    </cfRule>
    <cfRule type="containsBlanks" dxfId="187" priority="189">
      <formula>LEN(TRIM(X46))=0</formula>
    </cfRule>
  </conditionalFormatting>
  <conditionalFormatting sqref="X46">
    <cfRule type="containsBlanks" dxfId="186" priority="190">
      <formula>LEN(TRIM(X46))=0</formula>
    </cfRule>
  </conditionalFormatting>
  <conditionalFormatting sqref="V46">
    <cfRule type="cellIs" dxfId="185" priority="187" operator="lessThan">
      <formula>0.05</formula>
    </cfRule>
  </conditionalFormatting>
  <conditionalFormatting sqref="W46">
    <cfRule type="cellIs" dxfId="184" priority="186" operator="lessThan">
      <formula>0.05</formula>
    </cfRule>
  </conditionalFormatting>
  <conditionalFormatting sqref="AB46 AE46 AH46 AK46 AN46 AQ46 AT46 AW46 AZ46">
    <cfRule type="cellIs" dxfId="183" priority="193" operator="lessThan">
      <formula>0.05</formula>
    </cfRule>
  </conditionalFormatting>
  <conditionalFormatting sqref="AC46 AF46 AI46 AL46 AO46 AR46 AU46 AX46 BA46">
    <cfRule type="cellIs" dxfId="182" priority="192" operator="lessThan">
      <formula>0.05</formula>
    </cfRule>
  </conditionalFormatting>
  <conditionalFormatting sqref="AD46 AG46 AJ46 AM46 AP46 AS46 AV46 AY46 BB46">
    <cfRule type="cellIs" dxfId="181" priority="191" operator="lessThan">
      <formula>0.05</formula>
    </cfRule>
  </conditionalFormatting>
  <conditionalFormatting sqref="AX47 BA47">
    <cfRule type="cellIs" dxfId="180" priority="172" operator="lessThan">
      <formula>0.05</formula>
    </cfRule>
  </conditionalFormatting>
  <conditionalFormatting sqref="AY47 BB47">
    <cfRule type="cellIs" dxfId="179" priority="171" operator="lessThan">
      <formula>0.05</formula>
    </cfRule>
  </conditionalFormatting>
  <conditionalFormatting sqref="N47:Q47">
    <cfRule type="containsBlanks" dxfId="178" priority="185">
      <formula>LEN(TRIM(N47))=0</formula>
    </cfRule>
  </conditionalFormatting>
  <conditionalFormatting sqref="U47:U49">
    <cfRule type="containsBlanks" dxfId="177" priority="184">
      <formula>LEN(TRIM(U47))=0</formula>
    </cfRule>
  </conditionalFormatting>
  <conditionalFormatting sqref="U47:U49">
    <cfRule type="containsBlanks" dxfId="176" priority="182">
      <formula>LEN(TRIM(U47))=0</formula>
    </cfRule>
    <cfRule type="containsBlanks" dxfId="175" priority="183">
      <formula>LEN(TRIM(U47))=0</formula>
    </cfRule>
  </conditionalFormatting>
  <conditionalFormatting sqref="S47:S49">
    <cfRule type="cellIs" dxfId="174" priority="181" operator="lessThan">
      <formula>0.05</formula>
    </cfRule>
  </conditionalFormatting>
  <conditionalFormatting sqref="T47:T49">
    <cfRule type="cellIs" dxfId="173" priority="180" operator="lessThan">
      <formula>0.05</formula>
    </cfRule>
  </conditionalFormatting>
  <conditionalFormatting sqref="M45:M49">
    <cfRule type="containsBlanks" dxfId="172" priority="179">
      <formula>LEN(TRIM(M45))=0</formula>
    </cfRule>
  </conditionalFormatting>
  <conditionalFormatting sqref="X47 AA47">
    <cfRule type="containsBlanks" dxfId="171" priority="178">
      <formula>LEN(TRIM(X47))=0</formula>
    </cfRule>
  </conditionalFormatting>
  <conditionalFormatting sqref="X47 AA47">
    <cfRule type="containsBlanks" dxfId="170" priority="176">
      <formula>LEN(TRIM(X47))=0</formula>
    </cfRule>
    <cfRule type="containsBlanks" dxfId="169" priority="177">
      <formula>LEN(TRIM(X47))=0</formula>
    </cfRule>
  </conditionalFormatting>
  <conditionalFormatting sqref="V47 Y47">
    <cfRule type="cellIs" dxfId="168" priority="175" operator="lessThan">
      <formula>0.05</formula>
    </cfRule>
  </conditionalFormatting>
  <conditionalFormatting sqref="W47 Z47">
    <cfRule type="cellIs" dxfId="167" priority="174" operator="lessThan">
      <formula>0.05</formula>
    </cfRule>
  </conditionalFormatting>
  <conditionalFormatting sqref="AW47 AZ47">
    <cfRule type="cellIs" dxfId="166" priority="173" operator="lessThan">
      <formula>0.05</formula>
    </cfRule>
  </conditionalFormatting>
  <conditionalFormatting sqref="AX45 BA45">
    <cfRule type="cellIs" dxfId="165" priority="158" operator="lessThan">
      <formula>0.05</formula>
    </cfRule>
  </conditionalFormatting>
  <conditionalFormatting sqref="AY45 BB45">
    <cfRule type="cellIs" dxfId="164" priority="157" operator="lessThan">
      <formula>0.05</formula>
    </cfRule>
  </conditionalFormatting>
  <conditionalFormatting sqref="S45 V45 Y45 AB45 AE45 AH45 AK45 AN45 AQ45 AT45">
    <cfRule type="cellIs" dxfId="163" priority="161" operator="lessThan">
      <formula>0.05</formula>
    </cfRule>
  </conditionalFormatting>
  <conditionalFormatting sqref="U45 X45 AA45 AD45 AG45 AJ45 AM45 AP45 AS45 AV45">
    <cfRule type="containsBlanks" dxfId="162" priority="162">
      <formula>LEN(TRIM(U45))=0</formula>
    </cfRule>
    <cfRule type="containsBlanks" dxfId="161" priority="163">
      <formula>LEN(TRIM(U45))=0</formula>
    </cfRule>
  </conditionalFormatting>
  <conditionalFormatting sqref="U45 X45 AA45 AD45 AG45 AJ45 AM45 AP45 AS45 AV45">
    <cfRule type="containsBlanks" dxfId="160" priority="164">
      <formula>LEN(TRIM(U45))=0</formula>
    </cfRule>
  </conditionalFormatting>
  <conditionalFormatting sqref="T45 W45 Z45 AC45 AF45 AI45 AL45 AO45 AR45 AU45">
    <cfRule type="cellIs" dxfId="159" priority="160" operator="lessThan">
      <formula>0.05</formula>
    </cfRule>
  </conditionalFormatting>
  <conditionalFormatting sqref="N45:Q45">
    <cfRule type="containsBlanks" dxfId="158" priority="170">
      <formula>LEN(TRIM(N45))=0</formula>
    </cfRule>
  </conditionalFormatting>
  <conditionalFormatting sqref="AW45 AZ45">
    <cfRule type="cellIs" dxfId="157" priority="159" operator="lessThan">
      <formula>0.05</formula>
    </cfRule>
  </conditionalFormatting>
  <conditionalFormatting sqref="S20:U20">
    <cfRule type="cellIs" dxfId="156" priority="156" operator="lessThan">
      <formula>0.05</formula>
    </cfRule>
  </conditionalFormatting>
  <conditionalFormatting sqref="V20:AS20">
    <cfRule type="cellIs" dxfId="155" priority="155" operator="lessThan">
      <formula>0.05</formula>
    </cfRule>
  </conditionalFormatting>
  <conditionalFormatting sqref="AA46">
    <cfRule type="containsBlanks" dxfId="154" priority="152">
      <formula>LEN(TRIM(AA46))=0</formula>
    </cfRule>
    <cfRule type="containsBlanks" dxfId="153" priority="153">
      <formula>LEN(TRIM(AA46))=0</formula>
    </cfRule>
  </conditionalFormatting>
  <conditionalFormatting sqref="AA46">
    <cfRule type="containsBlanks" dxfId="152" priority="154">
      <formula>LEN(TRIM(AA46))=0</formula>
    </cfRule>
  </conditionalFormatting>
  <conditionalFormatting sqref="Y46">
    <cfRule type="cellIs" dxfId="151" priority="151" operator="lessThan">
      <formula>0.05</formula>
    </cfRule>
  </conditionalFormatting>
  <conditionalFormatting sqref="Z46">
    <cfRule type="cellIs" dxfId="150" priority="150" operator="lessThan">
      <formula>0.05</formula>
    </cfRule>
  </conditionalFormatting>
  <conditionalFormatting sqref="AH53 AK53 AN53 AQ53">
    <cfRule type="cellIs" dxfId="149" priority="146" operator="lessThan">
      <formula>0.05</formula>
    </cfRule>
  </conditionalFormatting>
  <conditionalFormatting sqref="AJ53 AM53 AP53 AS53">
    <cfRule type="containsBlanks" dxfId="148" priority="149">
      <formula>LEN(TRIM(AJ53))=0</formula>
    </cfRule>
  </conditionalFormatting>
  <conditionalFormatting sqref="AJ53 AM53 AP53 AS53">
    <cfRule type="containsBlanks" dxfId="147" priority="147">
      <formula>LEN(TRIM(AJ53))=0</formula>
    </cfRule>
    <cfRule type="containsBlanks" dxfId="146" priority="148">
      <formula>LEN(TRIM(AJ53))=0</formula>
    </cfRule>
  </conditionalFormatting>
  <conditionalFormatting sqref="AI53 AL53 AO53 AR53">
    <cfRule type="cellIs" dxfId="145" priority="145" operator="lessThan">
      <formula>0.05</formula>
    </cfRule>
  </conditionalFormatting>
  <conditionalFormatting sqref="N53:Q53">
    <cfRule type="containsBlanks" dxfId="144" priority="144">
      <formula>LEN(TRIM(N53))=0</formula>
    </cfRule>
  </conditionalFormatting>
  <conditionalFormatting sqref="L53">
    <cfRule type="containsBlanks" dxfId="143" priority="143">
      <formula>LEN(TRIM(L53))=0</formula>
    </cfRule>
  </conditionalFormatting>
  <conditionalFormatting sqref="L53">
    <cfRule type="containsBlanks" dxfId="142" priority="142">
      <formula>LEN(TRIM(L53))=0</formula>
    </cfRule>
  </conditionalFormatting>
  <conditionalFormatting sqref="M53">
    <cfRule type="containsBlanks" dxfId="141" priority="128">
      <formula>LEN(TRIM(M53))=0</formula>
    </cfRule>
  </conditionalFormatting>
  <conditionalFormatting sqref="M53">
    <cfRule type="containsBlanks" dxfId="140" priority="127">
      <formula>LEN(TRIM(M53))=0</formula>
    </cfRule>
  </conditionalFormatting>
  <conditionalFormatting sqref="AB47 AE47 AH47 AK47 AN47 AQ47 AT47">
    <cfRule type="cellIs" dxfId="139" priority="123" operator="lessThan">
      <formula>0.05</formula>
    </cfRule>
  </conditionalFormatting>
  <conditionalFormatting sqref="AD47 AG47 AJ47 AM47 AP47 AS47 AV47">
    <cfRule type="containsBlanks" dxfId="138" priority="124">
      <formula>LEN(TRIM(AD47))=0</formula>
    </cfRule>
    <cfRule type="containsBlanks" dxfId="137" priority="125">
      <formula>LEN(TRIM(AD47))=0</formula>
    </cfRule>
  </conditionalFormatting>
  <conditionalFormatting sqref="AD47 AG47 AJ47 AM47 AP47 AS47 AV47">
    <cfRule type="containsBlanks" dxfId="136" priority="126">
      <formula>LEN(TRIM(AD47))=0</formula>
    </cfRule>
  </conditionalFormatting>
  <conditionalFormatting sqref="AC47 AF47 AI47 AL47 AO47 AR47 AU47">
    <cfRule type="cellIs" dxfId="135" priority="122" operator="lessThan">
      <formula>0.05</formula>
    </cfRule>
  </conditionalFormatting>
  <conditionalFormatting sqref="Q11">
    <cfRule type="containsBlanks" dxfId="134" priority="120">
      <formula>LEN(TRIM(Q11))=0</formula>
    </cfRule>
  </conditionalFormatting>
  <conditionalFormatting sqref="L11">
    <cfRule type="containsBlanks" dxfId="133" priority="119">
      <formula>LEN(TRIM(L11))=0</formula>
    </cfRule>
  </conditionalFormatting>
  <conditionalFormatting sqref="N11">
    <cfRule type="containsBlanks" dxfId="132" priority="118">
      <formula>LEN(TRIM(N11))=0</formula>
    </cfRule>
  </conditionalFormatting>
  <conditionalFormatting sqref="O11:P11">
    <cfRule type="containsBlanks" dxfId="131" priority="117">
      <formula>LEN(TRIM(O11))=0</formula>
    </cfRule>
  </conditionalFormatting>
  <conditionalFormatting sqref="L12:Q12">
    <cfRule type="containsBlanks" dxfId="130" priority="116">
      <formula>LEN(TRIM(L12))=0</formula>
    </cfRule>
  </conditionalFormatting>
  <conditionalFormatting sqref="L15">
    <cfRule type="containsBlanks" dxfId="129" priority="115">
      <formula>LEN(TRIM(L15))=0</formula>
    </cfRule>
  </conditionalFormatting>
  <conditionalFormatting sqref="O15:P15">
    <cfRule type="containsBlanks" dxfId="128" priority="114">
      <formula>LEN(TRIM(O15))=0</formula>
    </cfRule>
  </conditionalFormatting>
  <conditionalFormatting sqref="N19:P19">
    <cfRule type="containsBlanks" dxfId="127" priority="113">
      <formula>LEN(TRIM(N19))=0</formula>
    </cfRule>
  </conditionalFormatting>
  <conditionalFormatting sqref="Q19">
    <cfRule type="containsBlanks" dxfId="126" priority="112">
      <formula>LEN(TRIM(Q19))=0</formula>
    </cfRule>
  </conditionalFormatting>
  <conditionalFormatting sqref="L19">
    <cfRule type="containsBlanks" dxfId="125" priority="111">
      <formula>LEN(TRIM(L19))=0</formula>
    </cfRule>
  </conditionalFormatting>
  <conditionalFormatting sqref="O27:P27">
    <cfRule type="containsBlanks" dxfId="124" priority="110">
      <formula>LEN(TRIM(O27))=0</formula>
    </cfRule>
  </conditionalFormatting>
  <conditionalFormatting sqref="L27">
    <cfRule type="containsBlanks" dxfId="123" priority="109">
      <formula>LEN(TRIM(L27))=0</formula>
    </cfRule>
  </conditionalFormatting>
  <conditionalFormatting sqref="N27 Q27">
    <cfRule type="containsBlanks" dxfId="122" priority="108">
      <formula>LEN(TRIM(N27))=0</formula>
    </cfRule>
  </conditionalFormatting>
  <conditionalFormatting sqref="O31:P31">
    <cfRule type="containsBlanks" dxfId="121" priority="107">
      <formula>LEN(TRIM(O31))=0</formula>
    </cfRule>
  </conditionalFormatting>
  <conditionalFormatting sqref="L31">
    <cfRule type="containsBlanks" dxfId="120" priority="106">
      <formula>LEN(TRIM(L31))=0</formula>
    </cfRule>
  </conditionalFormatting>
  <conditionalFormatting sqref="N31">
    <cfRule type="containsBlanks" dxfId="119" priority="105">
      <formula>LEN(TRIM(N31))=0</formula>
    </cfRule>
  </conditionalFormatting>
  <conditionalFormatting sqref="Q31">
    <cfRule type="containsBlanks" dxfId="118" priority="104">
      <formula>LEN(TRIM(Q31))=0</formula>
    </cfRule>
  </conditionalFormatting>
  <conditionalFormatting sqref="O36:P36">
    <cfRule type="containsBlanks" dxfId="117" priority="103">
      <formula>LEN(TRIM(O36))=0</formula>
    </cfRule>
  </conditionalFormatting>
  <conditionalFormatting sqref="Q36">
    <cfRule type="containsBlanks" dxfId="116" priority="102">
      <formula>LEN(TRIM(Q36))=0</formula>
    </cfRule>
  </conditionalFormatting>
  <conditionalFormatting sqref="N36">
    <cfRule type="containsBlanks" dxfId="115" priority="101">
      <formula>LEN(TRIM(N36))=0</formula>
    </cfRule>
  </conditionalFormatting>
  <conditionalFormatting sqref="L36">
    <cfRule type="containsBlanks" dxfId="114" priority="100">
      <formula>LEN(TRIM(L36))=0</formula>
    </cfRule>
  </conditionalFormatting>
  <conditionalFormatting sqref="Q40">
    <cfRule type="containsBlanks" dxfId="113" priority="99">
      <formula>LEN(TRIM(Q40))=0</formula>
    </cfRule>
  </conditionalFormatting>
  <conditionalFormatting sqref="O40:P40">
    <cfRule type="containsBlanks" dxfId="112" priority="98">
      <formula>LEN(TRIM(O40))=0</formula>
    </cfRule>
  </conditionalFormatting>
  <conditionalFormatting sqref="L40">
    <cfRule type="containsBlanks" dxfId="111" priority="97">
      <formula>LEN(TRIM(L40))=0</formula>
    </cfRule>
  </conditionalFormatting>
  <conditionalFormatting sqref="N40">
    <cfRule type="containsBlanks" dxfId="110" priority="96">
      <formula>LEN(TRIM(N40))=0</formula>
    </cfRule>
  </conditionalFormatting>
  <conditionalFormatting sqref="S23:BB24">
    <cfRule type="cellIs" dxfId="109" priority="95" operator="lessThan">
      <formula>0.05</formula>
    </cfRule>
  </conditionalFormatting>
  <conditionalFormatting sqref="N23:Q26">
    <cfRule type="containsBlanks" dxfId="108" priority="94">
      <formula>LEN(TRIM(N23))=0</formula>
    </cfRule>
  </conditionalFormatting>
  <conditionalFormatting sqref="L24:M26 L23">
    <cfRule type="containsBlanks" dxfId="107" priority="93">
      <formula>LEN(TRIM(L23))=0</formula>
    </cfRule>
  </conditionalFormatting>
  <conditionalFormatting sqref="S26:BB26">
    <cfRule type="cellIs" dxfId="106" priority="80" operator="lessThan">
      <formula>0.05</formula>
    </cfRule>
  </conditionalFormatting>
  <conditionalFormatting sqref="S26:BB26">
    <cfRule type="containsBlanks" dxfId="105" priority="78">
      <formula>LEN(TRIM(S26))=0</formula>
    </cfRule>
    <cfRule type="containsBlanks" dxfId="104" priority="79">
      <formula>LEN(TRIM(S26))=0</formula>
    </cfRule>
  </conditionalFormatting>
  <conditionalFormatting sqref="S26:BB26">
    <cfRule type="containsBlanks" dxfId="103" priority="77">
      <formula>LEN(TRIM(S26))=0</formula>
    </cfRule>
  </conditionalFormatting>
  <conditionalFormatting sqref="S26 AW26 AZ26 V26 Y26 AB26 AE26 AH26 AK26 AN26 AQ26 AT26">
    <cfRule type="containsBlanks" dxfId="102" priority="76">
      <formula>LEN(TRIM(S26))=0</formula>
    </cfRule>
  </conditionalFormatting>
  <conditionalFormatting sqref="S25:BB25">
    <cfRule type="cellIs" dxfId="101" priority="75" operator="lessThan">
      <formula>0.05</formula>
    </cfRule>
  </conditionalFormatting>
  <conditionalFormatting sqref="N51:Q51">
    <cfRule type="containsBlanks" dxfId="100" priority="74">
      <formula>LEN(TRIM(N51))=0</formula>
    </cfRule>
  </conditionalFormatting>
  <conditionalFormatting sqref="U51">
    <cfRule type="containsBlanks" dxfId="99" priority="73">
      <formula>LEN(TRIM(U51))=0</formula>
    </cfRule>
  </conditionalFormatting>
  <conditionalFormatting sqref="U51">
    <cfRule type="containsBlanks" dxfId="98" priority="71">
      <formula>LEN(TRIM(U51))=0</formula>
    </cfRule>
    <cfRule type="containsBlanks" dxfId="97" priority="72">
      <formula>LEN(TRIM(U51))=0</formula>
    </cfRule>
  </conditionalFormatting>
  <conditionalFormatting sqref="S51">
    <cfRule type="cellIs" dxfId="96" priority="70" operator="lessThan">
      <formula>0.05</formula>
    </cfRule>
  </conditionalFormatting>
  <conditionalFormatting sqref="T51">
    <cfRule type="cellIs" dxfId="95" priority="69" operator="lessThan">
      <formula>0.05</formula>
    </cfRule>
  </conditionalFormatting>
  <conditionalFormatting sqref="L51">
    <cfRule type="containsBlanks" dxfId="94" priority="68">
      <formula>LEN(TRIM(L51))=0</formula>
    </cfRule>
  </conditionalFormatting>
  <conditionalFormatting sqref="L51">
    <cfRule type="containsBlanks" dxfId="93" priority="67">
      <formula>LEN(TRIM(L51))=0</formula>
    </cfRule>
  </conditionalFormatting>
  <conditionalFormatting sqref="M51">
    <cfRule type="containsBlanks" dxfId="92" priority="61">
      <formula>LEN(TRIM(M51))=0</formula>
    </cfRule>
  </conditionalFormatting>
  <conditionalFormatting sqref="X51 AA51 AD51 AG51 AJ51 AM51 AP51 AS51 AV51">
    <cfRule type="containsBlanks" dxfId="91" priority="60">
      <formula>LEN(TRIM(X51))=0</formula>
    </cfRule>
  </conditionalFormatting>
  <conditionalFormatting sqref="X51 AA51 AD51 AG51 AJ51 AM51 AP51 AS51 AV51">
    <cfRule type="containsBlanks" dxfId="90" priority="58">
      <formula>LEN(TRIM(X51))=0</formula>
    </cfRule>
    <cfRule type="containsBlanks" dxfId="89" priority="59">
      <formula>LEN(TRIM(X51))=0</formula>
    </cfRule>
  </conditionalFormatting>
  <conditionalFormatting sqref="V51 Y51 AB51 AE51 AH51 AK51 AN51 AQ51 AT51">
    <cfRule type="cellIs" dxfId="88" priority="57" operator="lessThan">
      <formula>0.05</formula>
    </cfRule>
  </conditionalFormatting>
  <conditionalFormatting sqref="W51 Z51 AC51 AF51 AI51 AL51 AO51 AR51 AU51">
    <cfRule type="cellIs" dxfId="87" priority="56" operator="lessThan">
      <formula>0.05</formula>
    </cfRule>
  </conditionalFormatting>
  <conditionalFormatting sqref="N48:Q48">
    <cfRule type="containsBlanks" dxfId="86" priority="55">
      <formula>LEN(TRIM(N48))=0</formula>
    </cfRule>
  </conditionalFormatting>
  <conditionalFormatting sqref="L48:L49">
    <cfRule type="containsBlanks" dxfId="85" priority="49">
      <formula>LEN(TRIM(L48))=0</formula>
    </cfRule>
  </conditionalFormatting>
  <conditionalFormatting sqref="L48:L49">
    <cfRule type="containsBlanks" dxfId="84" priority="48">
      <formula>LEN(TRIM(L48))=0</formula>
    </cfRule>
  </conditionalFormatting>
  <conditionalFormatting sqref="X48 AA48 AD48 AG48 AJ48 AM48 AP48 AS48 AV48">
    <cfRule type="containsBlanks" dxfId="83" priority="40">
      <formula>LEN(TRIM(X48))=0</formula>
    </cfRule>
  </conditionalFormatting>
  <conditionalFormatting sqref="X48 AA48 AD48 AG48 AJ48 AM48 AP48 AS48 AV48">
    <cfRule type="containsBlanks" dxfId="82" priority="38">
      <formula>LEN(TRIM(X48))=0</formula>
    </cfRule>
    <cfRule type="containsBlanks" dxfId="81" priority="39">
      <formula>LEN(TRIM(X48))=0</formula>
    </cfRule>
  </conditionalFormatting>
  <conditionalFormatting sqref="V48 Y48 AB48 AE48 AH48 AK48 AN48 AQ48 AT48">
    <cfRule type="cellIs" dxfId="80" priority="37" operator="lessThan">
      <formula>0.05</formula>
    </cfRule>
  </conditionalFormatting>
  <conditionalFormatting sqref="W48 Z48 AC48 AF48 AI48 AL48 AO48 AR48 AU48">
    <cfRule type="cellIs" dxfId="79" priority="36" operator="lessThan">
      <formula>0.05</formula>
    </cfRule>
  </conditionalFormatting>
  <conditionalFormatting sqref="N49:P49">
    <cfRule type="containsBlanks" dxfId="78" priority="34">
      <formula>LEN(TRIM(N49))=0</formula>
    </cfRule>
  </conditionalFormatting>
  <conditionalFormatting sqref="Q49">
    <cfRule type="containsBlanks" dxfId="77" priority="33">
      <formula>LEN(TRIM(Q49))=0</formula>
    </cfRule>
  </conditionalFormatting>
  <conditionalFormatting sqref="AZ49 AW49">
    <cfRule type="cellIs" dxfId="76" priority="25" operator="lessThan">
      <formula>0.05</formula>
    </cfRule>
  </conditionalFormatting>
  <conditionalFormatting sqref="BA49 AX49">
    <cfRule type="cellIs" dxfId="75" priority="24" operator="lessThan">
      <formula>0.05</formula>
    </cfRule>
  </conditionalFormatting>
  <conditionalFormatting sqref="AW49 AZ49">
    <cfRule type="cellIs" dxfId="74" priority="27" operator="lessThan">
      <formula>0.05</formula>
    </cfRule>
  </conditionalFormatting>
  <conditionalFormatting sqref="AX49 BA49">
    <cfRule type="cellIs" dxfId="73" priority="26" operator="lessThan">
      <formula>0.05</formula>
    </cfRule>
  </conditionalFormatting>
  <conditionalFormatting sqref="BB49">
    <cfRule type="cellIs" dxfId="72" priority="21" operator="lessThan">
      <formula>0.05</formula>
    </cfRule>
  </conditionalFormatting>
  <conditionalFormatting sqref="AY49">
    <cfRule type="cellIs" dxfId="71" priority="22" operator="lessThan">
      <formula>0.05</formula>
    </cfRule>
  </conditionalFormatting>
  <conditionalFormatting sqref="X49 AA49 AD49 AG49 AJ49 AM49 AP49 AS49">
    <cfRule type="containsBlanks" dxfId="70" priority="15">
      <formula>LEN(TRIM(X49))=0</formula>
    </cfRule>
  </conditionalFormatting>
  <conditionalFormatting sqref="X49 AA49 AD49 AG49 AJ49 AM49 AP49 AS49">
    <cfRule type="containsBlanks" dxfId="69" priority="13">
      <formula>LEN(TRIM(X49))=0</formula>
    </cfRule>
    <cfRule type="containsBlanks" dxfId="68" priority="14">
      <formula>LEN(TRIM(X49))=0</formula>
    </cfRule>
  </conditionalFormatting>
  <conditionalFormatting sqref="V49 Y49 AB49 AE49 AH49 AK49 AN49 AQ49">
    <cfRule type="cellIs" dxfId="67" priority="12" operator="lessThan">
      <formula>0.05</formula>
    </cfRule>
  </conditionalFormatting>
  <conditionalFormatting sqref="W49 Z49 AC49 AF49 AI49 AL49 AO49 AR49">
    <cfRule type="cellIs" dxfId="66" priority="11" operator="lessThan">
      <formula>0.05</formula>
    </cfRule>
  </conditionalFormatting>
  <conditionalFormatting sqref="AV49">
    <cfRule type="containsBlanks" dxfId="65" priority="10">
      <formula>LEN(TRIM(AV49))=0</formula>
    </cfRule>
  </conditionalFormatting>
  <conditionalFormatting sqref="AV49">
    <cfRule type="containsBlanks" dxfId="64" priority="8">
      <formula>LEN(TRIM(AV49))=0</formula>
    </cfRule>
    <cfRule type="containsBlanks" dxfId="63" priority="9">
      <formula>LEN(TRIM(AV49))=0</formula>
    </cfRule>
  </conditionalFormatting>
  <conditionalFormatting sqref="AT49">
    <cfRule type="cellIs" dxfId="62" priority="7" operator="lessThan">
      <formula>0.05</formula>
    </cfRule>
  </conditionalFormatting>
  <conditionalFormatting sqref="AU49">
    <cfRule type="cellIs" dxfId="61" priority="6" operator="lessThan">
      <formula>0.05</formula>
    </cfRule>
  </conditionalFormatting>
  <conditionalFormatting sqref="AD50 AG50 AJ50 AM50 AP50 AS50 AV50">
    <cfRule type="containsBlanks" dxfId="60" priority="5">
      <formula>LEN(TRIM(AD50))=0</formula>
    </cfRule>
  </conditionalFormatting>
  <conditionalFormatting sqref="AD50 AG50 AJ50 AM50 AP50 AS50 AV50">
    <cfRule type="containsBlanks" dxfId="59" priority="3">
      <formula>LEN(TRIM(AD50))=0</formula>
    </cfRule>
    <cfRule type="containsBlanks" dxfId="58" priority="4">
      <formula>LEN(TRIM(AD50))=0</formula>
    </cfRule>
  </conditionalFormatting>
  <conditionalFormatting sqref="AB50 AE50 AH50 AK50 AN50 AQ50 AT50">
    <cfRule type="cellIs" dxfId="57" priority="2" operator="lessThan">
      <formula>0.05</formula>
    </cfRule>
  </conditionalFormatting>
  <conditionalFormatting sqref="AC50 AF50 AI50 AL50 AO50 AR50 AU50">
    <cfRule type="cellIs" dxfId="56" priority="1" operator="lessThan">
      <formula>0.05</formula>
    </cfRule>
  </conditionalFormatting>
  <pageMargins left="0.23622047244094491" right="0.23622047244094491" top="0.74803149606299213" bottom="0.74803149606299213" header="0.31496062992125984" footer="0.31496062992125984"/>
  <pageSetup paperSize="9" scale="65" orientation="landscape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H10"/>
  <sheetViews>
    <sheetView zoomScaleNormal="10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D18" sqref="D18"/>
    </sheetView>
  </sheetViews>
  <sheetFormatPr defaultRowHeight="14.4" x14ac:dyDescent="0.3"/>
  <cols>
    <col min="1" max="1" width="34" customWidth="1"/>
    <col min="2" max="2" width="11.5546875" customWidth="1"/>
    <col min="3" max="3" width="46.109375" customWidth="1"/>
    <col min="4" max="4" width="8.33203125" style="169" customWidth="1"/>
    <col min="5" max="5" width="40.88671875" bestFit="1" customWidth="1"/>
    <col min="6" max="6" width="11.5546875" style="169" bestFit="1" customWidth="1"/>
    <col min="7" max="10" width="10.33203125" customWidth="1"/>
    <col min="11" max="11" width="21.33203125" customWidth="1"/>
    <col min="12" max="13" width="10.109375" bestFit="1" customWidth="1"/>
    <col min="14" max="14" width="7.33203125" customWidth="1"/>
    <col min="15" max="15" width="6.44140625" customWidth="1"/>
    <col min="16" max="17" width="7.44140625" customWidth="1"/>
    <col min="18" max="18" width="11.5546875" customWidth="1"/>
    <col min="19" max="54" width="8.5546875" customWidth="1"/>
    <col min="55" max="55" width="9.88671875" bestFit="1" customWidth="1"/>
    <col min="56" max="56" width="12.33203125" customWidth="1"/>
    <col min="57" max="57" width="9.6640625" bestFit="1" customWidth="1"/>
    <col min="58" max="58" width="9.6640625" customWidth="1"/>
    <col min="59" max="59" width="14.5546875" bestFit="1" customWidth="1"/>
  </cols>
  <sheetData>
    <row r="1" spans="1:60" ht="15" customHeight="1" thickBot="1" x14ac:dyDescent="0.4">
      <c r="A1" s="346" t="s">
        <v>25</v>
      </c>
      <c r="C1" s="347"/>
      <c r="S1" s="565">
        <v>45292</v>
      </c>
      <c r="T1" s="566"/>
      <c r="U1" s="567"/>
      <c r="V1" s="542">
        <v>45323</v>
      </c>
      <c r="W1" s="543"/>
      <c r="X1" s="544"/>
      <c r="Y1" s="565">
        <v>45352</v>
      </c>
      <c r="Z1" s="566"/>
      <c r="AA1" s="567"/>
      <c r="AB1" s="542">
        <v>45383</v>
      </c>
      <c r="AC1" s="543"/>
      <c r="AD1" s="544"/>
      <c r="AE1" s="565">
        <v>45413</v>
      </c>
      <c r="AF1" s="566"/>
      <c r="AG1" s="567"/>
      <c r="AH1" s="542">
        <v>45444</v>
      </c>
      <c r="AI1" s="543"/>
      <c r="AJ1" s="544"/>
      <c r="AK1" s="565">
        <v>45474</v>
      </c>
      <c r="AL1" s="566"/>
      <c r="AM1" s="567"/>
      <c r="AN1" s="542">
        <v>45505</v>
      </c>
      <c r="AO1" s="543"/>
      <c r="AP1" s="544"/>
      <c r="AQ1" s="565">
        <v>45536</v>
      </c>
      <c r="AR1" s="566"/>
      <c r="AS1" s="567"/>
      <c r="AT1" s="542">
        <v>45566</v>
      </c>
      <c r="AU1" s="543"/>
      <c r="AV1" s="544"/>
      <c r="AW1" s="565">
        <v>45597</v>
      </c>
      <c r="AX1" s="566"/>
      <c r="AY1" s="567"/>
      <c r="AZ1" s="542">
        <v>45627</v>
      </c>
      <c r="BA1" s="543"/>
      <c r="BB1" s="544"/>
      <c r="BD1" s="100" t="s">
        <v>44</v>
      </c>
      <c r="BE1" s="101" t="s">
        <v>45</v>
      </c>
      <c r="BF1" s="290" t="s">
        <v>110</v>
      </c>
      <c r="BG1" s="102" t="s">
        <v>46</v>
      </c>
      <c r="BH1" s="270" t="s">
        <v>145</v>
      </c>
    </row>
    <row r="2" spans="1:60" ht="15" customHeight="1" x14ac:dyDescent="0.3">
      <c r="A2" s="292" t="s">
        <v>7</v>
      </c>
      <c r="B2" s="296">
        <v>5102</v>
      </c>
      <c r="C2" s="299" t="s">
        <v>111</v>
      </c>
      <c r="R2" s="38" t="s">
        <v>7</v>
      </c>
      <c r="S2" s="90">
        <f t="shared" ref="S2:AB3" si="0">SUMIF($R$5:$R$76,$R2,S$5:S$76)</f>
        <v>0</v>
      </c>
      <c r="T2" s="91">
        <f t="shared" si="0"/>
        <v>0</v>
      </c>
      <c r="U2" s="40">
        <f t="shared" si="0"/>
        <v>0</v>
      </c>
      <c r="V2" s="92">
        <f t="shared" si="0"/>
        <v>0</v>
      </c>
      <c r="W2" s="93">
        <f t="shared" si="0"/>
        <v>0</v>
      </c>
      <c r="X2" s="43">
        <f t="shared" si="0"/>
        <v>0</v>
      </c>
      <c r="Y2" s="90">
        <f t="shared" si="0"/>
        <v>0</v>
      </c>
      <c r="Z2" s="91">
        <f t="shared" si="0"/>
        <v>0</v>
      </c>
      <c r="AA2" s="40">
        <f t="shared" si="0"/>
        <v>0</v>
      </c>
      <c r="AB2" s="92">
        <f t="shared" si="0"/>
        <v>0</v>
      </c>
      <c r="AC2" s="93">
        <f t="shared" ref="AC2:AL3" si="1">SUMIF($R$5:$R$76,$R2,AC$5:AC$76)</f>
        <v>0</v>
      </c>
      <c r="AD2" s="43">
        <f t="shared" si="1"/>
        <v>0</v>
      </c>
      <c r="AE2" s="90">
        <f t="shared" si="1"/>
        <v>0</v>
      </c>
      <c r="AF2" s="91">
        <f t="shared" si="1"/>
        <v>0</v>
      </c>
      <c r="AG2" s="40">
        <f t="shared" si="1"/>
        <v>0</v>
      </c>
      <c r="AH2" s="92">
        <f t="shared" si="1"/>
        <v>0</v>
      </c>
      <c r="AI2" s="93">
        <f t="shared" si="1"/>
        <v>0</v>
      </c>
      <c r="AJ2" s="43">
        <f t="shared" si="1"/>
        <v>0</v>
      </c>
      <c r="AK2" s="90">
        <f t="shared" si="1"/>
        <v>0</v>
      </c>
      <c r="AL2" s="91">
        <f t="shared" si="1"/>
        <v>0</v>
      </c>
      <c r="AM2" s="40">
        <f t="shared" ref="AM2:AV3" si="2">SUMIF($R$5:$R$76,$R2,AM$5:AM$76)</f>
        <v>0</v>
      </c>
      <c r="AN2" s="92">
        <f t="shared" si="2"/>
        <v>0</v>
      </c>
      <c r="AO2" s="93">
        <f t="shared" si="2"/>
        <v>0</v>
      </c>
      <c r="AP2" s="43">
        <f t="shared" si="2"/>
        <v>0</v>
      </c>
      <c r="AQ2" s="90">
        <f t="shared" si="2"/>
        <v>0</v>
      </c>
      <c r="AR2" s="91">
        <f t="shared" si="2"/>
        <v>0</v>
      </c>
      <c r="AS2" s="40">
        <f t="shared" si="2"/>
        <v>0</v>
      </c>
      <c r="AT2" s="92">
        <f t="shared" si="2"/>
        <v>0</v>
      </c>
      <c r="AU2" s="93">
        <f t="shared" si="2"/>
        <v>0</v>
      </c>
      <c r="AV2" s="43">
        <f t="shared" si="2"/>
        <v>0</v>
      </c>
      <c r="AW2" s="90">
        <f t="shared" ref="AW2:BB3" si="3">SUMIF($R$5:$R$76,$R2,AW$5:AW$76)</f>
        <v>0</v>
      </c>
      <c r="AX2" s="91">
        <f t="shared" si="3"/>
        <v>0</v>
      </c>
      <c r="AY2" s="40">
        <f t="shared" si="3"/>
        <v>0</v>
      </c>
      <c r="AZ2" s="92">
        <f t="shared" si="3"/>
        <v>0</v>
      </c>
      <c r="BA2" s="93">
        <f t="shared" si="3"/>
        <v>0</v>
      </c>
      <c r="BB2" s="43">
        <f t="shared" si="3"/>
        <v>0</v>
      </c>
      <c r="BD2" s="286">
        <f>SUM(U2,X2,AA2,AD2,AG2,AJ2,AM2,AP2,AS2,AV2,AY2,BB2)</f>
        <v>0</v>
      </c>
      <c r="BE2" s="287">
        <f>0.338*(SUMIFS(BC:BC,F:F,"HPP",R:R, BH2)+SUMIFS(BC:BC,F:F,"DPČ",R:R, BH2))</f>
        <v>0</v>
      </c>
      <c r="BF2" s="287">
        <f>0.02*SUMIFS(BC:BC,F:F,"HPP",R:R, BH2)</f>
        <v>0</v>
      </c>
      <c r="BG2" s="288">
        <f>SUM(BD2:BF2)</f>
        <v>0</v>
      </c>
      <c r="BH2" s="62" t="s">
        <v>7</v>
      </c>
    </row>
    <row r="3" spans="1:60" ht="15" customHeight="1" x14ac:dyDescent="0.3">
      <c r="A3" s="293" t="s">
        <v>8</v>
      </c>
      <c r="B3" s="297">
        <v>5107</v>
      </c>
      <c r="C3" s="300" t="s">
        <v>114</v>
      </c>
      <c r="R3" s="39" t="s">
        <v>8</v>
      </c>
      <c r="S3" s="88">
        <f t="shared" si="0"/>
        <v>500</v>
      </c>
      <c r="T3" s="60">
        <f t="shared" si="0"/>
        <v>35</v>
      </c>
      <c r="U3" s="41">
        <f t="shared" si="0"/>
        <v>17500</v>
      </c>
      <c r="V3" s="94">
        <f t="shared" si="0"/>
        <v>500</v>
      </c>
      <c r="W3" s="61">
        <f t="shared" si="0"/>
        <v>35</v>
      </c>
      <c r="X3" s="44">
        <f t="shared" si="0"/>
        <v>17500</v>
      </c>
      <c r="Y3" s="88">
        <f t="shared" si="0"/>
        <v>500</v>
      </c>
      <c r="Z3" s="60">
        <f t="shared" si="0"/>
        <v>35</v>
      </c>
      <c r="AA3" s="41">
        <f t="shared" si="0"/>
        <v>17500</v>
      </c>
      <c r="AB3" s="94">
        <f t="shared" si="0"/>
        <v>500</v>
      </c>
      <c r="AC3" s="61">
        <f t="shared" si="1"/>
        <v>35</v>
      </c>
      <c r="AD3" s="44">
        <f t="shared" si="1"/>
        <v>17500</v>
      </c>
      <c r="AE3" s="88">
        <f t="shared" si="1"/>
        <v>500</v>
      </c>
      <c r="AF3" s="60">
        <f t="shared" si="1"/>
        <v>35</v>
      </c>
      <c r="AG3" s="41">
        <f t="shared" si="1"/>
        <v>17500</v>
      </c>
      <c r="AH3" s="94">
        <f t="shared" si="1"/>
        <v>500</v>
      </c>
      <c r="AI3" s="61">
        <f t="shared" si="1"/>
        <v>35</v>
      </c>
      <c r="AJ3" s="44">
        <f t="shared" si="1"/>
        <v>17500</v>
      </c>
      <c r="AK3" s="88">
        <f t="shared" si="1"/>
        <v>500</v>
      </c>
      <c r="AL3" s="60">
        <f t="shared" si="1"/>
        <v>35</v>
      </c>
      <c r="AM3" s="41">
        <f t="shared" si="2"/>
        <v>17500</v>
      </c>
      <c r="AN3" s="94">
        <f t="shared" si="2"/>
        <v>500</v>
      </c>
      <c r="AO3" s="61">
        <f t="shared" si="2"/>
        <v>35</v>
      </c>
      <c r="AP3" s="44">
        <f t="shared" si="2"/>
        <v>17500</v>
      </c>
      <c r="AQ3" s="88">
        <f t="shared" si="2"/>
        <v>500</v>
      </c>
      <c r="AR3" s="60">
        <f t="shared" si="2"/>
        <v>35</v>
      </c>
      <c r="AS3" s="41">
        <f t="shared" si="2"/>
        <v>17500</v>
      </c>
      <c r="AT3" s="94">
        <f t="shared" si="2"/>
        <v>500</v>
      </c>
      <c r="AU3" s="61">
        <f t="shared" si="2"/>
        <v>35</v>
      </c>
      <c r="AV3" s="44">
        <f t="shared" si="2"/>
        <v>17500</v>
      </c>
      <c r="AW3" s="88">
        <f t="shared" si="3"/>
        <v>500</v>
      </c>
      <c r="AX3" s="60">
        <f t="shared" si="3"/>
        <v>35</v>
      </c>
      <c r="AY3" s="41">
        <f t="shared" si="3"/>
        <v>17500</v>
      </c>
      <c r="AZ3" s="94">
        <f t="shared" si="3"/>
        <v>500</v>
      </c>
      <c r="BA3" s="61">
        <f t="shared" si="3"/>
        <v>35</v>
      </c>
      <c r="BB3" s="44">
        <f t="shared" si="3"/>
        <v>17500</v>
      </c>
      <c r="BD3" s="286">
        <f t="shared" ref="BD3" si="4">SUM(U3,X3,AA3,AD3,AG3,AJ3,AM3,AP3,AS3,AV3,AY3,BB3)</f>
        <v>210000</v>
      </c>
      <c r="BE3" s="287">
        <f>0.338*(SUMIFS(BC:BC,F:F,"HPP",R:R, BH3)+SUMIFS(BC:BC,F:F,"DPČ",R:R, BH3))</f>
        <v>70980</v>
      </c>
      <c r="BF3" s="287">
        <f>0.02*SUMIFS(BC:BC,F:F,"HPP",R:R, BH3)</f>
        <v>0</v>
      </c>
      <c r="BG3" s="288">
        <f t="shared" ref="BG3" si="5">SUM(BD3:BF3)</f>
        <v>280980</v>
      </c>
      <c r="BH3" s="63" t="s">
        <v>8</v>
      </c>
    </row>
    <row r="5" spans="1:60" ht="15" thickBot="1" x14ac:dyDescent="0.35"/>
    <row r="6" spans="1:60" ht="15" thickBot="1" x14ac:dyDescent="0.35">
      <c r="L6" s="553" t="s">
        <v>37</v>
      </c>
      <c r="M6" s="554"/>
      <c r="N6" s="554"/>
      <c r="O6" s="554"/>
      <c r="P6" s="554"/>
      <c r="Q6" s="555"/>
      <c r="R6" s="547" t="s">
        <v>26</v>
      </c>
      <c r="S6" s="542">
        <v>45292</v>
      </c>
      <c r="T6" s="543"/>
      <c r="U6" s="544"/>
      <c r="V6" s="542">
        <v>45323</v>
      </c>
      <c r="W6" s="543"/>
      <c r="X6" s="544"/>
      <c r="Y6" s="542">
        <v>45352</v>
      </c>
      <c r="Z6" s="543"/>
      <c r="AA6" s="544"/>
      <c r="AB6" s="542">
        <v>45383</v>
      </c>
      <c r="AC6" s="543"/>
      <c r="AD6" s="544"/>
      <c r="AE6" s="542">
        <v>45413</v>
      </c>
      <c r="AF6" s="543"/>
      <c r="AG6" s="544"/>
      <c r="AH6" s="542">
        <v>45444</v>
      </c>
      <c r="AI6" s="543"/>
      <c r="AJ6" s="544"/>
      <c r="AK6" s="542">
        <v>45474</v>
      </c>
      <c r="AL6" s="543"/>
      <c r="AM6" s="544"/>
      <c r="AN6" s="542">
        <v>45505</v>
      </c>
      <c r="AO6" s="543"/>
      <c r="AP6" s="544"/>
      <c r="AQ6" s="542">
        <v>45536</v>
      </c>
      <c r="AR6" s="543"/>
      <c r="AS6" s="544"/>
      <c r="AT6" s="542">
        <v>45566</v>
      </c>
      <c r="AU6" s="543"/>
      <c r="AV6" s="544"/>
      <c r="AW6" s="542">
        <v>45597</v>
      </c>
      <c r="AX6" s="543"/>
      <c r="AY6" s="544"/>
      <c r="AZ6" s="542">
        <v>45627</v>
      </c>
      <c r="BA6" s="543"/>
      <c r="BB6" s="544"/>
      <c r="BC6" s="282" t="s">
        <v>157</v>
      </c>
    </row>
    <row r="7" spans="1:60" ht="15" thickBot="1" x14ac:dyDescent="0.35">
      <c r="A7" s="151"/>
      <c r="B7" s="152"/>
      <c r="C7" s="153"/>
      <c r="L7" s="556"/>
      <c r="M7" s="557"/>
      <c r="N7" s="557"/>
      <c r="O7" s="557"/>
      <c r="P7" s="557"/>
      <c r="Q7" s="558"/>
      <c r="R7" s="548"/>
      <c r="S7" s="584">
        <v>176</v>
      </c>
      <c r="T7" s="585"/>
      <c r="U7" s="586"/>
      <c r="V7" s="587">
        <v>160</v>
      </c>
      <c r="W7" s="588"/>
      <c r="X7" s="589"/>
      <c r="Y7" s="587">
        <v>184</v>
      </c>
      <c r="Z7" s="588"/>
      <c r="AA7" s="589"/>
      <c r="AB7" s="587">
        <v>144</v>
      </c>
      <c r="AC7" s="588"/>
      <c r="AD7" s="589"/>
      <c r="AE7" s="587">
        <v>168</v>
      </c>
      <c r="AF7" s="588"/>
      <c r="AG7" s="589"/>
      <c r="AH7" s="587">
        <v>176</v>
      </c>
      <c r="AI7" s="588"/>
      <c r="AJ7" s="589"/>
      <c r="AK7" s="587">
        <v>152</v>
      </c>
      <c r="AL7" s="588"/>
      <c r="AM7" s="589"/>
      <c r="AN7" s="587">
        <v>184</v>
      </c>
      <c r="AO7" s="588"/>
      <c r="AP7" s="589"/>
      <c r="AQ7" s="587">
        <v>160</v>
      </c>
      <c r="AR7" s="588"/>
      <c r="AS7" s="589"/>
      <c r="AT7" s="587">
        <v>176</v>
      </c>
      <c r="AU7" s="588"/>
      <c r="AV7" s="589"/>
      <c r="AW7" s="587">
        <v>168</v>
      </c>
      <c r="AX7" s="588"/>
      <c r="AY7" s="589"/>
      <c r="AZ7" s="587">
        <v>152</v>
      </c>
      <c r="BA7" s="588"/>
      <c r="BB7" s="590"/>
      <c r="BC7" s="414">
        <f>SUM(S7:BB7)</f>
        <v>2000</v>
      </c>
    </row>
    <row r="8" spans="1:60" ht="43.8" thickBot="1" x14ac:dyDescent="0.35">
      <c r="A8" s="392" t="s">
        <v>51</v>
      </c>
      <c r="B8" s="412" t="s">
        <v>26</v>
      </c>
      <c r="C8" s="413" t="s">
        <v>56</v>
      </c>
      <c r="D8" s="413" t="s">
        <v>52</v>
      </c>
      <c r="E8" s="413" t="s">
        <v>60</v>
      </c>
      <c r="F8" s="413" t="s">
        <v>53</v>
      </c>
      <c r="G8" s="413" t="s">
        <v>54</v>
      </c>
      <c r="H8" s="413" t="s">
        <v>94</v>
      </c>
      <c r="I8" s="413" t="s">
        <v>160</v>
      </c>
      <c r="J8" s="413" t="s">
        <v>161</v>
      </c>
      <c r="K8" s="392" t="s">
        <v>55</v>
      </c>
      <c r="L8" s="147" t="s">
        <v>38</v>
      </c>
      <c r="M8" s="148" t="s">
        <v>39</v>
      </c>
      <c r="N8" s="148" t="s">
        <v>40</v>
      </c>
      <c r="O8" s="148" t="s">
        <v>41</v>
      </c>
      <c r="P8" s="148" t="s">
        <v>42</v>
      </c>
      <c r="Q8" s="149" t="s">
        <v>43</v>
      </c>
      <c r="R8" s="549"/>
      <c r="S8" s="53" t="s">
        <v>0</v>
      </c>
      <c r="T8" s="54" t="s">
        <v>28</v>
      </c>
      <c r="U8" s="55" t="s">
        <v>17</v>
      </c>
      <c r="V8" s="56" t="s">
        <v>0</v>
      </c>
      <c r="W8" s="57" t="s">
        <v>28</v>
      </c>
      <c r="X8" s="58" t="s">
        <v>17</v>
      </c>
      <c r="Y8" s="53" t="s">
        <v>0</v>
      </c>
      <c r="Z8" s="54" t="s">
        <v>28</v>
      </c>
      <c r="AA8" s="55" t="s">
        <v>17</v>
      </c>
      <c r="AB8" s="56" t="s">
        <v>0</v>
      </c>
      <c r="AC8" s="57" t="s">
        <v>28</v>
      </c>
      <c r="AD8" s="58" t="s">
        <v>17</v>
      </c>
      <c r="AE8" s="53" t="s">
        <v>0</v>
      </c>
      <c r="AF8" s="54" t="s">
        <v>28</v>
      </c>
      <c r="AG8" s="55" t="s">
        <v>17</v>
      </c>
      <c r="AH8" s="56" t="s">
        <v>0</v>
      </c>
      <c r="AI8" s="57" t="s">
        <v>28</v>
      </c>
      <c r="AJ8" s="58" t="s">
        <v>17</v>
      </c>
      <c r="AK8" s="53" t="s">
        <v>0</v>
      </c>
      <c r="AL8" s="54" t="s">
        <v>28</v>
      </c>
      <c r="AM8" s="55" t="s">
        <v>17</v>
      </c>
      <c r="AN8" s="56" t="s">
        <v>0</v>
      </c>
      <c r="AO8" s="57" t="s">
        <v>28</v>
      </c>
      <c r="AP8" s="58" t="s">
        <v>17</v>
      </c>
      <c r="AQ8" s="53" t="s">
        <v>0</v>
      </c>
      <c r="AR8" s="54" t="s">
        <v>28</v>
      </c>
      <c r="AS8" s="55" t="s">
        <v>17</v>
      </c>
      <c r="AT8" s="56" t="s">
        <v>0</v>
      </c>
      <c r="AU8" s="57" t="s">
        <v>28</v>
      </c>
      <c r="AV8" s="58" t="s">
        <v>17</v>
      </c>
      <c r="AW8" s="53" t="s">
        <v>0</v>
      </c>
      <c r="AX8" s="54" t="s">
        <v>28</v>
      </c>
      <c r="AY8" s="55" t="s">
        <v>17</v>
      </c>
      <c r="AZ8" s="56" t="s">
        <v>0</v>
      </c>
      <c r="BA8" s="57" t="s">
        <v>28</v>
      </c>
      <c r="BB8" s="273" t="s">
        <v>17</v>
      </c>
      <c r="BC8" s="284" t="s">
        <v>17</v>
      </c>
    </row>
    <row r="9" spans="1:60" ht="15" thickBot="1" x14ac:dyDescent="0.35"/>
    <row r="10" spans="1:60" ht="15" thickBot="1" x14ac:dyDescent="0.35">
      <c r="A10" s="194" t="s">
        <v>144</v>
      </c>
      <c r="B10" s="195" t="s">
        <v>8</v>
      </c>
      <c r="C10" s="198" t="s">
        <v>58</v>
      </c>
      <c r="D10" s="199"/>
      <c r="E10" s="143" t="s">
        <v>156</v>
      </c>
      <c r="F10" s="200" t="s">
        <v>5</v>
      </c>
      <c r="G10" s="201">
        <v>44197</v>
      </c>
      <c r="H10" s="229"/>
      <c r="I10" s="229"/>
      <c r="J10" s="229"/>
      <c r="K10" s="230" t="s">
        <v>12</v>
      </c>
      <c r="L10" s="318">
        <v>44197</v>
      </c>
      <c r="M10" s="318">
        <v>45657</v>
      </c>
      <c r="N10" s="317"/>
      <c r="O10" s="144"/>
      <c r="P10" s="144"/>
      <c r="Q10" s="203">
        <v>17500</v>
      </c>
      <c r="R10" s="204" t="s">
        <v>8</v>
      </c>
      <c r="S10" s="254">
        <v>500</v>
      </c>
      <c r="T10" s="255">
        <v>35</v>
      </c>
      <c r="U10" s="280">
        <f t="shared" ref="U10" si="6">S10*T10</f>
        <v>17500</v>
      </c>
      <c r="V10" s="254">
        <v>500</v>
      </c>
      <c r="W10" s="255">
        <v>35</v>
      </c>
      <c r="X10" s="280">
        <f t="shared" ref="X10" si="7">V10*W10</f>
        <v>17500</v>
      </c>
      <c r="Y10" s="254">
        <v>500</v>
      </c>
      <c r="Z10" s="255">
        <v>35</v>
      </c>
      <c r="AA10" s="280">
        <f t="shared" ref="AA10" si="8">Y10*Z10</f>
        <v>17500</v>
      </c>
      <c r="AB10" s="254">
        <v>500</v>
      </c>
      <c r="AC10" s="255">
        <v>35</v>
      </c>
      <c r="AD10" s="280">
        <f t="shared" ref="AD10" si="9">AB10*AC10</f>
        <v>17500</v>
      </c>
      <c r="AE10" s="254">
        <v>500</v>
      </c>
      <c r="AF10" s="255">
        <v>35</v>
      </c>
      <c r="AG10" s="280">
        <f t="shared" ref="AG10" si="10">AE10*AF10</f>
        <v>17500</v>
      </c>
      <c r="AH10" s="254">
        <v>500</v>
      </c>
      <c r="AI10" s="255">
        <v>35</v>
      </c>
      <c r="AJ10" s="280">
        <f t="shared" ref="AJ10" si="11">AH10*AI10</f>
        <v>17500</v>
      </c>
      <c r="AK10" s="254">
        <v>500</v>
      </c>
      <c r="AL10" s="255">
        <v>35</v>
      </c>
      <c r="AM10" s="280">
        <f t="shared" ref="AM10" si="12">AK10*AL10</f>
        <v>17500</v>
      </c>
      <c r="AN10" s="254">
        <v>500</v>
      </c>
      <c r="AO10" s="255">
        <v>35</v>
      </c>
      <c r="AP10" s="280">
        <f t="shared" ref="AP10" si="13">AN10*AO10</f>
        <v>17500</v>
      </c>
      <c r="AQ10" s="254">
        <v>500</v>
      </c>
      <c r="AR10" s="255">
        <v>35</v>
      </c>
      <c r="AS10" s="280">
        <f t="shared" ref="AS10" si="14">AQ10*AR10</f>
        <v>17500</v>
      </c>
      <c r="AT10" s="254">
        <v>500</v>
      </c>
      <c r="AU10" s="255">
        <v>35</v>
      </c>
      <c r="AV10" s="280">
        <f t="shared" ref="AV10" si="15">AT10*AU10</f>
        <v>17500</v>
      </c>
      <c r="AW10" s="254">
        <v>500</v>
      </c>
      <c r="AX10" s="255">
        <v>35</v>
      </c>
      <c r="AY10" s="280">
        <f t="shared" ref="AY10" si="16">AW10*AX10</f>
        <v>17500</v>
      </c>
      <c r="AZ10" s="254">
        <v>500</v>
      </c>
      <c r="BA10" s="255">
        <v>35</v>
      </c>
      <c r="BB10" s="280">
        <f t="shared" ref="BB10" si="17">AZ10*BA10</f>
        <v>17500</v>
      </c>
      <c r="BC10" s="285">
        <f>SUM(U10,X10,AA10,AD10,AG10,AJ10,AM10,AP10,AS10,AV10,AY10,BB10)</f>
        <v>210000</v>
      </c>
    </row>
  </sheetData>
  <mergeCells count="38">
    <mergeCell ref="AZ1:BB1"/>
    <mergeCell ref="S1:U1"/>
    <mergeCell ref="V1:X1"/>
    <mergeCell ref="Y1:AA1"/>
    <mergeCell ref="AB1:AD1"/>
    <mergeCell ref="AE1:AG1"/>
    <mergeCell ref="AH1:AJ1"/>
    <mergeCell ref="AK1:AM1"/>
    <mergeCell ref="AN1:AP1"/>
    <mergeCell ref="AQ1:AS1"/>
    <mergeCell ref="AT1:AV1"/>
    <mergeCell ref="AW1:AY1"/>
    <mergeCell ref="L6:Q7"/>
    <mergeCell ref="R6:R8"/>
    <mergeCell ref="S6:U6"/>
    <mergeCell ref="V6:X6"/>
    <mergeCell ref="Y6:AA6"/>
    <mergeCell ref="AB6:AD6"/>
    <mergeCell ref="AE6:AG6"/>
    <mergeCell ref="AH6:AJ6"/>
    <mergeCell ref="AK6:AM6"/>
    <mergeCell ref="AN6:AP6"/>
    <mergeCell ref="AQ6:AS6"/>
    <mergeCell ref="AT6:AV6"/>
    <mergeCell ref="AW6:AY6"/>
    <mergeCell ref="AZ6:BB6"/>
    <mergeCell ref="S7:U7"/>
    <mergeCell ref="V7:X7"/>
    <mergeCell ref="Y7:AA7"/>
    <mergeCell ref="AB7:AD7"/>
    <mergeCell ref="AE7:AG7"/>
    <mergeCell ref="AH7:AJ7"/>
    <mergeCell ref="AK7:AM7"/>
    <mergeCell ref="AN7:AP7"/>
    <mergeCell ref="AQ7:AS7"/>
    <mergeCell ref="AT7:AV7"/>
    <mergeCell ref="AW7:AY7"/>
    <mergeCell ref="AZ7:BB7"/>
  </mergeCells>
  <conditionalFormatting sqref="U10">
    <cfRule type="containsBlanks" dxfId="55" priority="13">
      <formula>LEN(TRIM(U10))=0</formula>
    </cfRule>
  </conditionalFormatting>
  <conditionalFormatting sqref="U10">
    <cfRule type="containsBlanks" dxfId="54" priority="11">
      <formula>LEN(TRIM(U10))=0</formula>
    </cfRule>
    <cfRule type="containsBlanks" dxfId="53" priority="12">
      <formula>LEN(TRIM(U10))=0</formula>
    </cfRule>
  </conditionalFormatting>
  <conditionalFormatting sqref="N10:Q10">
    <cfRule type="containsBlanks" dxfId="52" priority="10">
      <formula>LEN(TRIM(N10))=0</formula>
    </cfRule>
  </conditionalFormatting>
  <conditionalFormatting sqref="S10">
    <cfRule type="cellIs" dxfId="51" priority="9" operator="lessThan">
      <formula>0.05</formula>
    </cfRule>
  </conditionalFormatting>
  <conditionalFormatting sqref="T10">
    <cfRule type="cellIs" dxfId="50" priority="8" operator="lessThan">
      <formula>0.05</formula>
    </cfRule>
  </conditionalFormatting>
  <conditionalFormatting sqref="L10:M10">
    <cfRule type="containsBlanks" dxfId="49" priority="7">
      <formula>LEN(TRIM(L10))=0</formula>
    </cfRule>
  </conditionalFormatting>
  <conditionalFormatting sqref="L10:M10">
    <cfRule type="containsBlanks" dxfId="48" priority="6">
      <formula>LEN(TRIM(L10))=0</formula>
    </cfRule>
  </conditionalFormatting>
  <conditionalFormatting sqref="X10 AA10 AD10 AG10 AJ10 AM10 AP10 AS10 AV10 AY10 BB10">
    <cfRule type="containsBlanks" dxfId="47" priority="5">
      <formula>LEN(TRIM(X10))=0</formula>
    </cfRule>
  </conditionalFormatting>
  <conditionalFormatting sqref="X10 AA10 AD10 AG10 AJ10 AM10 AP10 AS10 AV10 AY10 BB10">
    <cfRule type="containsBlanks" dxfId="46" priority="3">
      <formula>LEN(TRIM(X10))=0</formula>
    </cfRule>
    <cfRule type="containsBlanks" dxfId="45" priority="4">
      <formula>LEN(TRIM(X10))=0</formula>
    </cfRule>
  </conditionalFormatting>
  <conditionalFormatting sqref="V10 Y10 AB10 AE10 AH10 AK10 AN10 AQ10 AT10 AW10 AZ10">
    <cfRule type="cellIs" dxfId="44" priority="2" operator="lessThan">
      <formula>0.05</formula>
    </cfRule>
  </conditionalFormatting>
  <conditionalFormatting sqref="W10 Z10 AC10 AF10 AI10 AL10 AO10 AR10 AU10 AX10 BA10">
    <cfRule type="cellIs" dxfId="43" priority="1" operator="lessThan">
      <formula>0.05</formula>
    </cfRule>
  </conditionalFormatting>
  <pageMargins left="0.23622047244094491" right="0.23622047244094491" top="0.74803149606299213" bottom="0.74803149606299213" header="0.31496062992125984" footer="0.31496062992125984"/>
  <pageSetup paperSize="9" scale="65" orientation="landscape" horizontalDpi="4294967295" verticalDpi="4294967295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K10"/>
  <sheetViews>
    <sheetView workbookViewId="0">
      <selection activeCell="C19" sqref="C19"/>
    </sheetView>
  </sheetViews>
  <sheetFormatPr defaultRowHeight="14.4" x14ac:dyDescent="0.3"/>
  <cols>
    <col min="1" max="1" width="9.5546875" bestFit="1" customWidth="1"/>
    <col min="2" max="2" width="14.44140625" customWidth="1"/>
    <col min="3" max="3" width="12.88671875" customWidth="1"/>
    <col min="4" max="4" width="13.88671875" customWidth="1"/>
    <col min="5" max="6" width="18.5546875" customWidth="1"/>
    <col min="7" max="7" width="15.44140625" customWidth="1"/>
  </cols>
  <sheetData>
    <row r="2" spans="1:11" x14ac:dyDescent="0.3">
      <c r="A2" s="2" t="s">
        <v>18</v>
      </c>
    </row>
    <row r="3" spans="1:11" x14ac:dyDescent="0.3">
      <c r="A3" s="1"/>
      <c r="B3" s="32" t="s">
        <v>19</v>
      </c>
      <c r="C3" s="33" t="s">
        <v>20</v>
      </c>
      <c r="D3" s="33" t="s">
        <v>21</v>
      </c>
      <c r="E3" s="33" t="s">
        <v>34</v>
      </c>
      <c r="F3" s="4" t="s">
        <v>31</v>
      </c>
      <c r="G3" s="4" t="s">
        <v>179</v>
      </c>
      <c r="H3" s="1"/>
      <c r="I3" s="1"/>
      <c r="J3" s="1"/>
      <c r="K3" s="1"/>
    </row>
    <row r="4" spans="1:11" ht="72" x14ac:dyDescent="0.3">
      <c r="A4" s="4" t="s">
        <v>6</v>
      </c>
      <c r="B4" s="34" t="s">
        <v>22</v>
      </c>
      <c r="C4" s="34" t="s">
        <v>22</v>
      </c>
      <c r="D4" s="34" t="s">
        <v>22</v>
      </c>
      <c r="E4" s="73" t="s">
        <v>35</v>
      </c>
      <c r="F4" s="73" t="s">
        <v>158</v>
      </c>
      <c r="G4" s="73" t="s">
        <v>158</v>
      </c>
      <c r="H4" s="1"/>
      <c r="I4" s="1"/>
      <c r="J4" s="1"/>
      <c r="K4" s="1"/>
    </row>
    <row r="5" spans="1:11" x14ac:dyDescent="0.3">
      <c r="A5" s="4" t="s">
        <v>11</v>
      </c>
      <c r="B5" s="34" t="s">
        <v>22</v>
      </c>
      <c r="C5" s="35" t="s">
        <v>23</v>
      </c>
      <c r="D5" s="35" t="s">
        <v>23</v>
      </c>
      <c r="E5" s="35" t="s">
        <v>23</v>
      </c>
      <c r="F5" s="35" t="s">
        <v>23</v>
      </c>
      <c r="G5" s="35" t="s">
        <v>23</v>
      </c>
      <c r="H5" s="1"/>
      <c r="I5" s="1"/>
      <c r="J5" s="1"/>
      <c r="K5" s="1"/>
    </row>
    <row r="6" spans="1:11" x14ac:dyDescent="0.3">
      <c r="A6" s="4" t="s">
        <v>8</v>
      </c>
      <c r="B6" s="34"/>
      <c r="C6" s="34"/>
      <c r="D6" s="34"/>
      <c r="E6" s="34"/>
      <c r="F6" s="34" t="s">
        <v>22</v>
      </c>
      <c r="G6" s="34" t="s">
        <v>22</v>
      </c>
      <c r="H6" s="1"/>
      <c r="I6" s="1"/>
      <c r="J6" s="1"/>
      <c r="K6" s="1"/>
    </row>
    <row r="7" spans="1:11" x14ac:dyDescent="0.3">
      <c r="A7" s="4" t="s">
        <v>29</v>
      </c>
      <c r="B7" s="34"/>
      <c r="C7" s="34"/>
      <c r="D7" s="34" t="s">
        <v>24</v>
      </c>
      <c r="E7" s="34" t="s">
        <v>24</v>
      </c>
      <c r="F7" s="34" t="s">
        <v>33</v>
      </c>
      <c r="G7" s="34" t="s">
        <v>33</v>
      </c>
      <c r="H7" s="1"/>
      <c r="I7" s="1"/>
      <c r="J7" s="1"/>
      <c r="K7" s="1"/>
    </row>
    <row r="8" spans="1:11" x14ac:dyDescent="0.3">
      <c r="A8" s="4" t="s">
        <v>30</v>
      </c>
      <c r="B8" s="1"/>
      <c r="C8" s="1"/>
      <c r="D8" s="34"/>
      <c r="E8" s="34" t="s">
        <v>24</v>
      </c>
      <c r="F8" s="34" t="s">
        <v>33</v>
      </c>
      <c r="G8" s="34" t="s">
        <v>33</v>
      </c>
      <c r="H8" s="1"/>
      <c r="I8" s="1"/>
      <c r="J8" s="1"/>
      <c r="K8" s="71"/>
    </row>
    <row r="9" spans="1:11" x14ac:dyDescent="0.3">
      <c r="A9" s="9" t="s">
        <v>32</v>
      </c>
      <c r="B9" s="72"/>
      <c r="C9" s="72"/>
      <c r="D9" s="72"/>
      <c r="E9" s="72"/>
      <c r="F9" s="34" t="s">
        <v>33</v>
      </c>
      <c r="G9" s="34" t="s">
        <v>33</v>
      </c>
      <c r="H9" s="72"/>
      <c r="I9" s="72"/>
      <c r="J9" s="72"/>
      <c r="K9" s="70"/>
    </row>
    <row r="10" spans="1:11" x14ac:dyDescent="0.3">
      <c r="A10" s="4" t="s">
        <v>155</v>
      </c>
      <c r="B10" s="1"/>
      <c r="C10" s="1"/>
      <c r="D10" s="1"/>
      <c r="E10" s="1"/>
      <c r="F10" s="1"/>
      <c r="G10" s="34" t="s">
        <v>22</v>
      </c>
    </row>
  </sheetData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N34"/>
  <sheetViews>
    <sheetView view="pageBreakPreview" topLeftCell="A10" zoomScale="90" zoomScaleNormal="100" zoomScaleSheetLayoutView="90" workbookViewId="0">
      <selection activeCell="I21" sqref="I21"/>
    </sheetView>
  </sheetViews>
  <sheetFormatPr defaultRowHeight="14.4" x14ac:dyDescent="0.3"/>
  <cols>
    <col min="2" max="2" width="21" bestFit="1" customWidth="1"/>
    <col min="3" max="3" width="19" bestFit="1" customWidth="1"/>
    <col min="4" max="4" width="18" bestFit="1" customWidth="1"/>
    <col min="5" max="5" width="19" bestFit="1" customWidth="1"/>
    <col min="6" max="6" width="18" bestFit="1" customWidth="1"/>
    <col min="7" max="8" width="16.33203125" bestFit="1" customWidth="1"/>
    <col min="9" max="9" width="15.109375" bestFit="1" customWidth="1"/>
  </cols>
  <sheetData>
    <row r="1" spans="1:14" ht="18" x14ac:dyDescent="0.35">
      <c r="A1" s="36" t="s">
        <v>127</v>
      </c>
    </row>
    <row r="2" spans="1:14" ht="15" thickBot="1" x14ac:dyDescent="0.35">
      <c r="B2" s="2"/>
    </row>
    <row r="3" spans="1:14" ht="15" thickBot="1" x14ac:dyDescent="0.35">
      <c r="A3" s="392" t="s">
        <v>7</v>
      </c>
      <c r="B3" s="394" t="s">
        <v>47</v>
      </c>
      <c r="C3" s="394" t="s">
        <v>119</v>
      </c>
      <c r="D3" s="394" t="s">
        <v>123</v>
      </c>
      <c r="E3" s="394" t="s">
        <v>125</v>
      </c>
      <c r="F3" s="345"/>
      <c r="L3" s="404"/>
    </row>
    <row r="4" spans="1:14" ht="15" thickBot="1" x14ac:dyDescent="0.35">
      <c r="A4" s="396" t="s">
        <v>130</v>
      </c>
      <c r="B4" s="393">
        <f>'PŘEHLED 2020'!BE2</f>
        <v>296921.14513333334</v>
      </c>
      <c r="C4" s="393">
        <f>'PŘEHLED 2021'!BG2</f>
        <v>270604.86730000004</v>
      </c>
      <c r="D4" s="393">
        <f>'PŘEHLED 2022'!BG2</f>
        <v>284948.6129666667</v>
      </c>
      <c r="E4" s="393">
        <f>'PŘEHLED 2023'!BG2</f>
        <v>323767.56999999989</v>
      </c>
      <c r="F4" s="401"/>
      <c r="G4" s="14"/>
      <c r="H4" s="14"/>
      <c r="I4" s="14"/>
      <c r="J4" s="14"/>
      <c r="K4" s="14"/>
      <c r="L4" s="404"/>
      <c r="M4" s="14"/>
      <c r="N4" s="14"/>
    </row>
    <row r="5" spans="1:14" ht="15" thickBot="1" x14ac:dyDescent="0.35">
      <c r="B5" s="2"/>
    </row>
    <row r="6" spans="1:14" ht="15" thickBot="1" x14ac:dyDescent="0.35">
      <c r="A6" s="392" t="s">
        <v>6</v>
      </c>
      <c r="B6" s="394" t="s">
        <v>47</v>
      </c>
      <c r="C6" s="394" t="s">
        <v>119</v>
      </c>
      <c r="D6" s="394" t="s">
        <v>123</v>
      </c>
      <c r="E6" s="394" t="s">
        <v>125</v>
      </c>
      <c r="F6" s="394" t="s">
        <v>43</v>
      </c>
      <c r="G6" s="394" t="s">
        <v>137</v>
      </c>
      <c r="H6" s="394" t="s">
        <v>129</v>
      </c>
    </row>
    <row r="7" spans="1:14" ht="15" thickBot="1" x14ac:dyDescent="0.35">
      <c r="A7" s="396" t="s">
        <v>130</v>
      </c>
      <c r="B7" s="393">
        <v>1451935.28</v>
      </c>
      <c r="C7" s="393">
        <v>2305207.9</v>
      </c>
      <c r="D7" s="393">
        <f>'PŘEHLED 2022'!BG3</f>
        <v>1901963.1899000003</v>
      </c>
      <c r="E7" s="393">
        <f>'PŘEHLED 2023'!BG3</f>
        <v>2160897.8449999997</v>
      </c>
      <c r="F7" s="393">
        <f>SUM(B7:E7)</f>
        <v>7820004.2149</v>
      </c>
      <c r="G7" s="393">
        <f>G8*27</f>
        <v>9355500</v>
      </c>
      <c r="H7" s="399">
        <f>G7-F7</f>
        <v>1535495.7851</v>
      </c>
    </row>
    <row r="8" spans="1:14" ht="15" thickBot="1" x14ac:dyDescent="0.35">
      <c r="A8" s="396" t="s">
        <v>128</v>
      </c>
      <c r="B8" s="398">
        <f>B7*0.037</f>
        <v>53721.605360000001</v>
      </c>
      <c r="C8" s="398">
        <f t="shared" ref="C8:E8" si="0">C7*0.037</f>
        <v>85292.692299999995</v>
      </c>
      <c r="D8" s="398">
        <f t="shared" si="0"/>
        <v>70372.638026300003</v>
      </c>
      <c r="E8" s="398">
        <f t="shared" si="0"/>
        <v>79953.220264999982</v>
      </c>
      <c r="F8" s="398">
        <f>SUM(B8:E8)</f>
        <v>289340.15595129994</v>
      </c>
      <c r="G8" s="402">
        <v>346500</v>
      </c>
      <c r="H8" s="400">
        <f>G8-F8</f>
        <v>57159.844048700063</v>
      </c>
    </row>
    <row r="9" spans="1:14" ht="15" thickBot="1" x14ac:dyDescent="0.35">
      <c r="B9" s="2"/>
    </row>
    <row r="10" spans="1:14" ht="15" thickBot="1" x14ac:dyDescent="0.35">
      <c r="A10" s="392" t="s">
        <v>9</v>
      </c>
      <c r="B10" s="394" t="s">
        <v>132</v>
      </c>
      <c r="C10" s="394" t="s">
        <v>133</v>
      </c>
      <c r="D10" s="394" t="s">
        <v>134</v>
      </c>
      <c r="E10" s="394" t="s">
        <v>135</v>
      </c>
      <c r="F10" s="394" t="s">
        <v>136</v>
      </c>
      <c r="G10" s="394" t="s">
        <v>43</v>
      </c>
      <c r="H10" s="394" t="s">
        <v>137</v>
      </c>
      <c r="I10" s="394" t="s">
        <v>129</v>
      </c>
    </row>
    <row r="11" spans="1:14" ht="15" thickBot="1" x14ac:dyDescent="0.35">
      <c r="A11" s="396" t="s">
        <v>130</v>
      </c>
      <c r="B11" s="393">
        <f>SUM('PŘEHLED 2020'!S4,'PŘEHLED 2020'!V4,'PŘEHLED 2020'!Y4,'PŘEHLED 2020'!AB4,'PŘEHLED 2020'!AE4,'PŘEHLED 2020'!AH4)+0.358*(SUM('PŘEHLED 2020'!S4,'PŘEHLED 2020'!V4,'PŘEHLED 2020'!Y4,'PŘEHLED 2020'!AB4,'PŘEHLED 2020'!AE4,'PŘEHLED 2020'!AH4)-SUM('PŘEHLED 2020'!V55:V56,'PŘEHLED 2020'!Y55:Y56,'PŘEHLED 2020'!AB55:AB56,'PŘEHLED 2020'!AE55:AE56,'PŘEHLED 2020'!AH55:AH56))</f>
        <v>617934.32813333324</v>
      </c>
      <c r="C11" s="393">
        <f>SUM('PŘEHLED 2020'!AK4,'PŘEHLED 2020'!AN4,'PŘEHLED 2020'!AQ4,'PŘEHLED 2020'!AT4,'PŘEHLED 2020'!AW4,'PŘEHLED 2020'!AZ4)+0.358*(SUM('PŘEHLED 2020'!AK4,'PŘEHLED 2020'!AN4,'PŘEHLED 2020'!AQ4,'PŘEHLED 2020'!AT4,'PŘEHLED 2020'!AW4,'PŘEHLED 2020'!AZ4)-SUM('PŘEHLED 2020'!AK55:AK56,'PŘEHLED 2020'!AN55,'PŘEHLED 2020'!AQ55,'PŘEHLED 2020'!AT55,'PŘEHLED 2020'!AW55,'PŘEHLED 2020'!AZ55))</f>
        <v>742496.99640000006</v>
      </c>
      <c r="D11" s="393">
        <f>SUM('PŘEHLED 2021'!U4,'PŘEHLED 2021'!X4,'PŘEHLED 2021'!AA4,'PŘEHLED 2021'!AD4,'PŘEHLED 2021'!AG4,'PŘEHLED 2021'!AJ4)+0.358*(SUM('PŘEHLED 2021'!U4,'PŘEHLED 2021'!X4,'PŘEHLED 2021'!AA4,'PŘEHLED 2021'!AD4,'PŘEHLED 2021'!AG4,'PŘEHLED 2021'!AJ4)-SUM('PŘEHLED 2021'!U77,'PŘEHLED 2021'!X77))</f>
        <v>825579.25093333353</v>
      </c>
      <c r="E11" s="393">
        <f>SUM('PŘEHLED 2021'!AM4,'PŘEHLED 2021'!AP4,'PŘEHLED 2021'!AS4,'PŘEHLED 2021'!AV4,'PŘEHLED 2021'!AY4,'PŘEHLED 2021'!BB4)+0.358*SUM('PŘEHLED 2021'!AM4,'PŘEHLED 2021'!AP4,'PŘEHLED 2021'!AS4,'PŘEHLED 2021'!AV4,'PŘEHLED 2021'!AY4,'PŘEHLED 2021'!BB4)</f>
        <v>841541.96880000015</v>
      </c>
      <c r="F11" s="393">
        <f>SUM('PŘEHLED 2022'!U4,'PŘEHLED 2022'!X4,'PŘEHLED 2022'!AA4,'PŘEHLED 2022'!AD4,'PŘEHLED 2022'!AG4,'PŘEHLED 2022'!AJ4)+0.358*SUM('PŘEHLED 2022'!U4,'PŘEHLED 2022'!X4,'PŘEHLED 2022'!AA4,'PŘEHLED 2022'!AD4,'PŘEHLED 2022'!AG4,'PŘEHLED 2022'!AJ4)</f>
        <v>904289.71680000017</v>
      </c>
      <c r="G11" s="393">
        <f>SUM(B11:F11)</f>
        <v>3931842.2610666673</v>
      </c>
      <c r="H11" s="393">
        <f>G14*25.67</f>
        <v>3964913.7569999998</v>
      </c>
      <c r="I11" s="399">
        <f>H11-G11</f>
        <v>33071.49593333248</v>
      </c>
    </row>
    <row r="12" spans="1:14" ht="15" thickBot="1" x14ac:dyDescent="0.35">
      <c r="A12" s="396" t="s">
        <v>128</v>
      </c>
      <c r="B12" s="398">
        <f>B11*0.037</f>
        <v>22863.570140933331</v>
      </c>
      <c r="C12" s="398">
        <f t="shared" ref="C12:D12" si="1">C11*0.037</f>
        <v>27472.3888668</v>
      </c>
      <c r="D12" s="398">
        <f t="shared" si="1"/>
        <v>30546.432284533341</v>
      </c>
      <c r="E12" s="398">
        <f>E11*0.039</f>
        <v>32820.136783200003</v>
      </c>
      <c r="F12" s="398">
        <f>F11*0.039</f>
        <v>35267.298955200007</v>
      </c>
      <c r="G12" s="398">
        <f>SUM(B12:F12)</f>
        <v>148969.82703066667</v>
      </c>
      <c r="H12" s="398"/>
      <c r="I12" s="400"/>
    </row>
    <row r="13" spans="1:14" ht="15" thickBot="1" x14ac:dyDescent="0.35">
      <c r="A13" s="396" t="s">
        <v>131</v>
      </c>
      <c r="B13" s="398">
        <f>16670+21270</f>
        <v>37940</v>
      </c>
      <c r="C13" s="398">
        <v>23690</v>
      </c>
      <c r="D13" s="398">
        <v>43990</v>
      </c>
      <c r="E13" s="398">
        <v>27800</v>
      </c>
      <c r="F13" s="398">
        <v>12825</v>
      </c>
      <c r="G13" s="398">
        <f>SUM(B13:F13)</f>
        <v>146245</v>
      </c>
      <c r="H13" s="402">
        <f>SUM(B13:F13)</f>
        <v>146245</v>
      </c>
      <c r="I13" s="400">
        <f>G14-G12</f>
        <v>5487.2729693333094</v>
      </c>
    </row>
    <row r="14" spans="1:14" ht="15" thickBot="1" x14ac:dyDescent="0.35">
      <c r="A14" s="396" t="s">
        <v>174</v>
      </c>
      <c r="B14" s="398">
        <v>20421.62</v>
      </c>
      <c r="C14" s="398">
        <v>27493.72</v>
      </c>
      <c r="D14" s="398">
        <v>32070.7</v>
      </c>
      <c r="E14" s="398">
        <v>32070.7</v>
      </c>
      <c r="F14" s="398">
        <v>42400.36</v>
      </c>
      <c r="G14" s="402">
        <f>SUM(B14:F14)</f>
        <v>154457.09999999998</v>
      </c>
      <c r="H14" s="393">
        <f>G14*25.67</f>
        <v>3964913.7569999998</v>
      </c>
      <c r="I14" s="494"/>
    </row>
    <row r="15" spans="1:14" ht="15" thickBot="1" x14ac:dyDescent="0.35"/>
    <row r="16" spans="1:14" ht="15" thickBot="1" x14ac:dyDescent="0.35">
      <c r="A16" s="392" t="s">
        <v>8</v>
      </c>
      <c r="B16" s="394" t="s">
        <v>47</v>
      </c>
      <c r="C16" s="394" t="s">
        <v>119</v>
      </c>
      <c r="D16" s="394" t="s">
        <v>123</v>
      </c>
      <c r="E16" s="394" t="s">
        <v>125</v>
      </c>
      <c r="F16" s="394">
        <v>2024</v>
      </c>
      <c r="G16" s="394" t="s">
        <v>43</v>
      </c>
      <c r="H16" s="394" t="s">
        <v>137</v>
      </c>
      <c r="I16" s="394" t="s">
        <v>129</v>
      </c>
    </row>
    <row r="17" spans="1:14" ht="15" thickBot="1" x14ac:dyDescent="0.35">
      <c r="A17" s="396" t="s">
        <v>130</v>
      </c>
      <c r="B17" s="393">
        <f>'PŘEHLED 2020'!BE5</f>
        <v>51293.561199999996</v>
      </c>
      <c r="C17" s="393">
        <f>'PŘEHLED 2021'!BG5</f>
        <v>280980</v>
      </c>
      <c r="D17" s="393">
        <f>'PŘEHLED 2022'!BG5</f>
        <v>280980</v>
      </c>
      <c r="E17" s="393">
        <f>'PŘEHLED 2023'!BG4</f>
        <v>280980</v>
      </c>
      <c r="F17" s="393">
        <f>'PŘEHLED 2024'!BG3</f>
        <v>280980</v>
      </c>
      <c r="G17" s="393">
        <f>SUM(B17:F17)</f>
        <v>1175213.5611999999</v>
      </c>
      <c r="H17" s="393">
        <f>H18*27</f>
        <v>2376000</v>
      </c>
      <c r="I17" s="399">
        <f>H17-G17</f>
        <v>1200786.4388000001</v>
      </c>
    </row>
    <row r="18" spans="1:14" ht="15" thickBot="1" x14ac:dyDescent="0.35">
      <c r="A18" s="396" t="s">
        <v>128</v>
      </c>
      <c r="B18" s="403">
        <f>B17*0.037</f>
        <v>1897.8617643999999</v>
      </c>
      <c r="C18" s="403">
        <f t="shared" ref="C18:F18" si="2">C17*0.037</f>
        <v>10396.26</v>
      </c>
      <c r="D18" s="403">
        <f t="shared" si="2"/>
        <v>10396.26</v>
      </c>
      <c r="E18" s="403">
        <f t="shared" si="2"/>
        <v>10396.26</v>
      </c>
      <c r="F18" s="403">
        <f t="shared" si="2"/>
        <v>10396.26</v>
      </c>
      <c r="G18" s="403">
        <f>SUM(B18:F18)</f>
        <v>43482.901764400005</v>
      </c>
      <c r="H18" s="402">
        <v>88000</v>
      </c>
      <c r="I18" s="400">
        <f>H18-G18</f>
        <v>44517.098235599995</v>
      </c>
    </row>
    <row r="19" spans="1:14" ht="15" thickBot="1" x14ac:dyDescent="0.35">
      <c r="B19" s="345"/>
    </row>
    <row r="20" spans="1:14" ht="15" thickBot="1" x14ac:dyDescent="0.35">
      <c r="A20" s="392" t="s">
        <v>29</v>
      </c>
      <c r="B20" s="394" t="s">
        <v>47</v>
      </c>
      <c r="C20" s="394" t="s">
        <v>119</v>
      </c>
      <c r="D20" s="394" t="s">
        <v>123</v>
      </c>
      <c r="E20" s="394" t="s">
        <v>43</v>
      </c>
      <c r="F20" s="394" t="s">
        <v>129</v>
      </c>
    </row>
    <row r="21" spans="1:14" ht="15" thickBot="1" x14ac:dyDescent="0.35">
      <c r="A21" s="395" t="s">
        <v>130</v>
      </c>
      <c r="B21" s="393">
        <v>636597</v>
      </c>
      <c r="C21" s="393">
        <v>1400843</v>
      </c>
      <c r="D21" s="393">
        <f>'PŘEHLED 2022'!BG6</f>
        <v>1570620.8427999998</v>
      </c>
      <c r="E21" s="393">
        <f>SUM(B21:D21)</f>
        <v>3608060.8427999998</v>
      </c>
      <c r="F21" s="399">
        <f>E22-E21</f>
        <v>107139.15720000025</v>
      </c>
      <c r="L21" s="2"/>
      <c r="M21" s="2"/>
      <c r="N21" s="2"/>
    </row>
    <row r="22" spans="1:14" ht="15" thickBot="1" x14ac:dyDescent="0.35">
      <c r="A22" s="396" t="s">
        <v>131</v>
      </c>
      <c r="B22" s="393">
        <v>972000</v>
      </c>
      <c r="C22" s="393">
        <v>1339200</v>
      </c>
      <c r="D22" s="393">
        <v>1404000</v>
      </c>
      <c r="E22" s="405">
        <f>SUM(B22:D22)</f>
        <v>3715200</v>
      </c>
      <c r="F22" s="393"/>
    </row>
    <row r="23" spans="1:14" ht="15" thickBot="1" x14ac:dyDescent="0.35"/>
    <row r="24" spans="1:14" ht="15" thickBot="1" x14ac:dyDescent="0.35">
      <c r="A24" s="392" t="s">
        <v>30</v>
      </c>
      <c r="B24" s="394" t="s">
        <v>47</v>
      </c>
      <c r="C24" s="394" t="s">
        <v>119</v>
      </c>
      <c r="D24" s="394" t="s">
        <v>123</v>
      </c>
      <c r="E24" s="394" t="s">
        <v>43</v>
      </c>
      <c r="F24" s="394" t="s">
        <v>129</v>
      </c>
    </row>
    <row r="25" spans="1:14" ht="15" thickBot="1" x14ac:dyDescent="0.35">
      <c r="A25" s="395" t="s">
        <v>130</v>
      </c>
      <c r="B25" s="393">
        <v>122500</v>
      </c>
      <c r="C25" s="393">
        <v>1255282</v>
      </c>
      <c r="D25" s="393">
        <f>'PŘEHLED 2022'!BG7</f>
        <v>1558672.5474</v>
      </c>
      <c r="E25" s="393">
        <f>SUM(B25:D25)</f>
        <v>2936454.5474</v>
      </c>
      <c r="F25" s="399">
        <f>E26-E25</f>
        <v>39545.452599999961</v>
      </c>
    </row>
    <row r="26" spans="1:14" ht="15" thickBot="1" x14ac:dyDescent="0.35">
      <c r="A26" s="396" t="s">
        <v>131</v>
      </c>
      <c r="B26" s="393">
        <v>354000</v>
      </c>
      <c r="C26" s="393">
        <v>1344000</v>
      </c>
      <c r="D26" s="393">
        <v>1278000</v>
      </c>
      <c r="E26" s="405">
        <f>SUM(B26:D26)</f>
        <v>2976000</v>
      </c>
      <c r="F26" s="397"/>
    </row>
    <row r="27" spans="1:14" ht="15" thickBot="1" x14ac:dyDescent="0.35"/>
    <row r="28" spans="1:14" ht="15" thickBot="1" x14ac:dyDescent="0.35">
      <c r="A28" s="392" t="s">
        <v>32</v>
      </c>
      <c r="B28" s="394" t="s">
        <v>119</v>
      </c>
      <c r="C28" s="394" t="s">
        <v>123</v>
      </c>
      <c r="D28" s="394" t="s">
        <v>43</v>
      </c>
      <c r="E28" s="394" t="s">
        <v>129</v>
      </c>
    </row>
    <row r="29" spans="1:14" ht="15" thickBot="1" x14ac:dyDescent="0.35">
      <c r="A29" s="395" t="s">
        <v>130</v>
      </c>
      <c r="B29" s="393">
        <v>1237240</v>
      </c>
      <c r="C29" s="393">
        <f>'PŘEHLED 2022'!BG8</f>
        <v>1283176.0856000001</v>
      </c>
      <c r="D29" s="393">
        <f>SUM(B29:C29)</f>
        <v>2520416.0855999999</v>
      </c>
      <c r="E29" s="399">
        <f>D30-D29</f>
        <v>-24336.085599999875</v>
      </c>
    </row>
    <row r="30" spans="1:14" ht="15" thickBot="1" x14ac:dyDescent="0.35">
      <c r="A30" s="396" t="s">
        <v>131</v>
      </c>
      <c r="B30" s="393">
        <v>1248040</v>
      </c>
      <c r="C30" s="393">
        <v>1248040</v>
      </c>
      <c r="D30" s="405">
        <f>SUM(B30:C30)</f>
        <v>2496080</v>
      </c>
      <c r="E30" s="397"/>
    </row>
    <row r="31" spans="1:14" ht="15" thickBot="1" x14ac:dyDescent="0.35"/>
    <row r="32" spans="1:14" ht="15" thickBot="1" x14ac:dyDescent="0.35">
      <c r="A32" s="392" t="s">
        <v>155</v>
      </c>
      <c r="B32" s="394" t="s">
        <v>119</v>
      </c>
      <c r="C32" s="394" t="s">
        <v>123</v>
      </c>
      <c r="D32" s="394" t="s">
        <v>125</v>
      </c>
      <c r="E32" s="394" t="s">
        <v>43</v>
      </c>
      <c r="F32" s="394" t="s">
        <v>137</v>
      </c>
      <c r="G32" s="394" t="s">
        <v>129</v>
      </c>
    </row>
    <row r="33" spans="1:7" ht="15" thickBot="1" x14ac:dyDescent="0.35">
      <c r="A33" s="396" t="s">
        <v>130</v>
      </c>
      <c r="B33" s="393">
        <v>279588.64</v>
      </c>
      <c r="C33" s="393">
        <f>'PŘEHLED 2022'!BG9</f>
        <v>852558.08199999994</v>
      </c>
      <c r="D33" s="393">
        <f>'PŘEHLED 2023'!BG6</f>
        <v>1191409.9739999999</v>
      </c>
      <c r="E33" s="393">
        <f>SUM(B33:D33)</f>
        <v>2323556.696</v>
      </c>
      <c r="F33" s="393">
        <f>F34*27</f>
        <v>2418738.2999999998</v>
      </c>
      <c r="G33" s="399">
        <f>F33-E33</f>
        <v>95181.603999999817</v>
      </c>
    </row>
    <row r="34" spans="1:7" ht="15" thickBot="1" x14ac:dyDescent="0.35">
      <c r="A34" s="396" t="s">
        <v>128</v>
      </c>
      <c r="B34" s="403">
        <f>B33*0.037</f>
        <v>10344.77968</v>
      </c>
      <c r="C34" s="403">
        <f>C33*0.037</f>
        <v>31544.649033999995</v>
      </c>
      <c r="D34" s="403">
        <f>D33*0.037</f>
        <v>44082.169037999993</v>
      </c>
      <c r="E34" s="403">
        <f>SUM(B34:D34)</f>
        <v>85971.597751999987</v>
      </c>
      <c r="F34" s="402">
        <v>89582.9</v>
      </c>
      <c r="G34" s="400">
        <f>F34-E34</f>
        <v>3611.3022480000072</v>
      </c>
    </row>
  </sheetData>
  <pageMargins left="0.7" right="0.7" top="0.78740157499999996" bottom="0.78740157499999996" header="0.3" footer="0.3"/>
  <pageSetup paperSize="9" scale="73" fitToHeight="0" orientation="landscape" r:id="rId1"/>
  <colBreaks count="1" manualBreakCount="1">
    <brk id="11" max="33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5DDA2A-04C6-4EFB-8025-D8339B214C86}">
  <sheetPr>
    <pageSetUpPr fitToPage="1"/>
  </sheetPr>
  <dimension ref="A1:AM40"/>
  <sheetViews>
    <sheetView view="pageBreakPreview" zoomScale="60" zoomScaleNormal="100" workbookViewId="0">
      <selection activeCell="U8" sqref="U8:AM12"/>
    </sheetView>
  </sheetViews>
  <sheetFormatPr defaultRowHeight="14.4" x14ac:dyDescent="0.3"/>
  <cols>
    <col min="1" max="1" width="34" customWidth="1"/>
    <col min="2" max="2" width="19" bestFit="1" customWidth="1"/>
    <col min="3" max="17" width="0" hidden="1" customWidth="1"/>
    <col min="39" max="39" width="9.6640625" bestFit="1" customWidth="1"/>
  </cols>
  <sheetData>
    <row r="1" spans="1:39" ht="15" thickBot="1" x14ac:dyDescent="0.35">
      <c r="B1" s="547" t="s">
        <v>26</v>
      </c>
      <c r="C1" s="542">
        <v>44562</v>
      </c>
      <c r="D1" s="543"/>
      <c r="E1" s="544"/>
      <c r="F1" s="542">
        <v>44593</v>
      </c>
      <c r="G1" s="543"/>
      <c r="H1" s="544"/>
      <c r="I1" s="542">
        <v>44621</v>
      </c>
      <c r="J1" s="543"/>
      <c r="K1" s="544"/>
      <c r="L1" s="542">
        <v>44652</v>
      </c>
      <c r="M1" s="543"/>
      <c r="N1" s="544"/>
      <c r="O1" s="542">
        <v>44682</v>
      </c>
      <c r="P1" s="543"/>
      <c r="Q1" s="544"/>
      <c r="R1" s="542">
        <v>44713</v>
      </c>
      <c r="S1" s="543"/>
      <c r="T1" s="544"/>
      <c r="U1" s="542">
        <v>44743</v>
      </c>
      <c r="V1" s="543"/>
      <c r="W1" s="544"/>
      <c r="X1" s="542">
        <v>44774</v>
      </c>
      <c r="Y1" s="543"/>
      <c r="Z1" s="544"/>
      <c r="AA1" s="542">
        <v>44805</v>
      </c>
      <c r="AB1" s="543"/>
      <c r="AC1" s="544"/>
      <c r="AD1" s="542">
        <v>44835</v>
      </c>
      <c r="AE1" s="543"/>
      <c r="AF1" s="544"/>
      <c r="AG1" s="542">
        <v>44866</v>
      </c>
      <c r="AH1" s="543"/>
      <c r="AI1" s="544"/>
      <c r="AJ1" s="542">
        <v>44896</v>
      </c>
      <c r="AK1" s="543"/>
      <c r="AL1" s="544"/>
      <c r="AM1" s="282" t="s">
        <v>122</v>
      </c>
    </row>
    <row r="2" spans="1:39" ht="15" thickBot="1" x14ac:dyDescent="0.35">
      <c r="B2" s="548"/>
      <c r="C2" s="578">
        <v>168</v>
      </c>
      <c r="D2" s="579"/>
      <c r="E2" s="580"/>
      <c r="F2" s="581">
        <v>160</v>
      </c>
      <c r="G2" s="582"/>
      <c r="H2" s="583"/>
      <c r="I2" s="578">
        <v>184</v>
      </c>
      <c r="J2" s="579"/>
      <c r="K2" s="580"/>
      <c r="L2" s="581">
        <v>168</v>
      </c>
      <c r="M2" s="582"/>
      <c r="N2" s="583"/>
      <c r="O2" s="578">
        <v>176</v>
      </c>
      <c r="P2" s="579"/>
      <c r="Q2" s="580"/>
      <c r="R2" s="581">
        <v>176</v>
      </c>
      <c r="S2" s="582"/>
      <c r="T2" s="583"/>
      <c r="U2" s="578">
        <v>168</v>
      </c>
      <c r="V2" s="579"/>
      <c r="W2" s="580"/>
      <c r="X2" s="581">
        <v>184</v>
      </c>
      <c r="Y2" s="582"/>
      <c r="Z2" s="583"/>
      <c r="AA2" s="578">
        <v>176</v>
      </c>
      <c r="AB2" s="579"/>
      <c r="AC2" s="580"/>
      <c r="AD2" s="581">
        <v>168</v>
      </c>
      <c r="AE2" s="582"/>
      <c r="AF2" s="583"/>
      <c r="AG2" s="578">
        <v>176</v>
      </c>
      <c r="AH2" s="579"/>
      <c r="AI2" s="580"/>
      <c r="AJ2" s="581">
        <v>176</v>
      </c>
      <c r="AK2" s="582"/>
      <c r="AL2" s="583"/>
      <c r="AM2" s="283">
        <f>SUM(C2:AL2)</f>
        <v>2080</v>
      </c>
    </row>
    <row r="3" spans="1:39" ht="15" thickBot="1" x14ac:dyDescent="0.35">
      <c r="A3" s="165" t="s">
        <v>51</v>
      </c>
      <c r="B3" s="549"/>
      <c r="C3" s="53" t="s">
        <v>0</v>
      </c>
      <c r="D3" s="54" t="s">
        <v>28</v>
      </c>
      <c r="E3" s="55" t="s">
        <v>17</v>
      </c>
      <c r="F3" s="56" t="s">
        <v>0</v>
      </c>
      <c r="G3" s="57" t="s">
        <v>28</v>
      </c>
      <c r="H3" s="58" t="s">
        <v>17</v>
      </c>
      <c r="I3" s="53" t="s">
        <v>0</v>
      </c>
      <c r="J3" s="54" t="s">
        <v>28</v>
      </c>
      <c r="K3" s="55" t="s">
        <v>17</v>
      </c>
      <c r="L3" s="56" t="s">
        <v>0</v>
      </c>
      <c r="M3" s="57" t="s">
        <v>28</v>
      </c>
      <c r="N3" s="58" t="s">
        <v>17</v>
      </c>
      <c r="O3" s="53" t="s">
        <v>0</v>
      </c>
      <c r="P3" s="54" t="s">
        <v>28</v>
      </c>
      <c r="Q3" s="55" t="s">
        <v>17</v>
      </c>
      <c r="R3" s="56" t="s">
        <v>0</v>
      </c>
      <c r="S3" s="57" t="s">
        <v>28</v>
      </c>
      <c r="T3" s="58" t="s">
        <v>17</v>
      </c>
      <c r="U3" s="53" t="s">
        <v>0</v>
      </c>
      <c r="V3" s="54" t="s">
        <v>28</v>
      </c>
      <c r="W3" s="55" t="s">
        <v>17</v>
      </c>
      <c r="X3" s="56" t="s">
        <v>0</v>
      </c>
      <c r="Y3" s="57" t="s">
        <v>28</v>
      </c>
      <c r="Z3" s="58" t="s">
        <v>17</v>
      </c>
      <c r="AA3" s="53" t="s">
        <v>0</v>
      </c>
      <c r="AB3" s="54" t="s">
        <v>28</v>
      </c>
      <c r="AC3" s="55" t="s">
        <v>17</v>
      </c>
      <c r="AD3" s="56" t="s">
        <v>0</v>
      </c>
      <c r="AE3" s="57" t="s">
        <v>28</v>
      </c>
      <c r="AF3" s="58" t="s">
        <v>17</v>
      </c>
      <c r="AG3" s="53" t="s">
        <v>0</v>
      </c>
      <c r="AH3" s="54" t="s">
        <v>28</v>
      </c>
      <c r="AI3" s="55" t="s">
        <v>17</v>
      </c>
      <c r="AJ3" s="56" t="s">
        <v>0</v>
      </c>
      <c r="AK3" s="57" t="s">
        <v>28</v>
      </c>
      <c r="AL3" s="273" t="s">
        <v>17</v>
      </c>
      <c r="AM3" s="284" t="s">
        <v>17</v>
      </c>
    </row>
    <row r="4" spans="1:39" ht="15" thickBot="1" x14ac:dyDescent="0.35">
      <c r="A4" s="569" t="s">
        <v>154</v>
      </c>
      <c r="B4" s="62" t="s">
        <v>7</v>
      </c>
      <c r="C4" s="118">
        <v>0.05</v>
      </c>
      <c r="D4" s="212">
        <v>8.4</v>
      </c>
      <c r="E4" s="213">
        <v>2567</v>
      </c>
      <c r="F4" s="118">
        <v>0.05</v>
      </c>
      <c r="G4" s="212">
        <v>8</v>
      </c>
      <c r="H4" s="213">
        <v>2567</v>
      </c>
      <c r="I4" s="118">
        <v>0.05</v>
      </c>
      <c r="J4" s="212">
        <v>9.2000000000000011</v>
      </c>
      <c r="K4" s="213">
        <v>2567</v>
      </c>
      <c r="L4" s="118">
        <v>0.05</v>
      </c>
      <c r="M4" s="212">
        <v>8.4</v>
      </c>
      <c r="N4" s="213">
        <v>2567</v>
      </c>
      <c r="O4" s="118">
        <v>0.05</v>
      </c>
      <c r="P4" s="212">
        <v>8.8000000000000007</v>
      </c>
      <c r="Q4" s="213">
        <v>2567</v>
      </c>
      <c r="R4" s="118">
        <v>0.05</v>
      </c>
      <c r="S4" s="212">
        <v>8.8000000000000007</v>
      </c>
      <c r="T4" s="213">
        <v>2567</v>
      </c>
      <c r="U4" s="118">
        <v>0.05</v>
      </c>
      <c r="V4" s="212">
        <v>8.4</v>
      </c>
      <c r="W4" s="213">
        <v>2567</v>
      </c>
      <c r="X4" s="118">
        <v>0.05</v>
      </c>
      <c r="Y4" s="212">
        <v>9.2000000000000011</v>
      </c>
      <c r="Z4" s="213">
        <v>2567</v>
      </c>
      <c r="AA4" s="118">
        <v>0.05</v>
      </c>
      <c r="AB4" s="212">
        <v>8.8000000000000007</v>
      </c>
      <c r="AC4" s="213">
        <v>2567</v>
      </c>
      <c r="AD4" s="118">
        <v>0.05</v>
      </c>
      <c r="AE4" s="212">
        <v>8.4</v>
      </c>
      <c r="AF4" s="213">
        <v>2567</v>
      </c>
      <c r="AG4" s="118">
        <v>0.05</v>
      </c>
      <c r="AH4" s="212">
        <v>8.8000000000000007</v>
      </c>
      <c r="AI4" s="213">
        <v>2567</v>
      </c>
      <c r="AJ4" s="118">
        <v>0.05</v>
      </c>
      <c r="AK4" s="212">
        <v>8.8000000000000007</v>
      </c>
      <c r="AL4" s="213">
        <v>2567</v>
      </c>
      <c r="AM4" s="285">
        <v>30804</v>
      </c>
    </row>
    <row r="5" spans="1:39" ht="15" thickBot="1" x14ac:dyDescent="0.35">
      <c r="A5" s="570"/>
      <c r="B5" s="63" t="s">
        <v>9</v>
      </c>
      <c r="C5" s="450">
        <v>0.55000000000000004</v>
      </c>
      <c r="D5" s="214">
        <v>92.4</v>
      </c>
      <c r="E5" s="21">
        <v>28237.000000000004</v>
      </c>
      <c r="F5" s="24">
        <v>0.55000000000000004</v>
      </c>
      <c r="G5" s="214">
        <v>88</v>
      </c>
      <c r="H5" s="21">
        <v>28237.000000000004</v>
      </c>
      <c r="I5" s="24">
        <v>0.55000000000000004</v>
      </c>
      <c r="J5" s="214">
        <v>101.2</v>
      </c>
      <c r="K5" s="21">
        <v>28237.000000000004</v>
      </c>
      <c r="L5" s="24">
        <v>0.55000000000000004</v>
      </c>
      <c r="M5" s="214">
        <v>92.4</v>
      </c>
      <c r="N5" s="21">
        <v>28237.000000000004</v>
      </c>
      <c r="O5" s="24">
        <v>0.55000000000000004</v>
      </c>
      <c r="P5" s="214">
        <v>96.800000000000011</v>
      </c>
      <c r="Q5" s="21">
        <v>28237.000000000004</v>
      </c>
      <c r="R5" s="24">
        <v>0.55000000000000004</v>
      </c>
      <c r="S5" s="214">
        <v>96.800000000000011</v>
      </c>
      <c r="T5" s="21">
        <v>28237.000000000004</v>
      </c>
      <c r="U5" s="467"/>
      <c r="V5" s="468"/>
      <c r="W5" s="469"/>
      <c r="X5" s="467"/>
      <c r="Y5" s="468"/>
      <c r="Z5" s="469"/>
      <c r="AA5" s="467"/>
      <c r="AB5" s="468"/>
      <c r="AC5" s="469"/>
      <c r="AD5" s="467"/>
      <c r="AE5" s="468"/>
      <c r="AF5" s="469"/>
      <c r="AG5" s="467"/>
      <c r="AH5" s="468"/>
      <c r="AI5" s="469"/>
      <c r="AJ5" s="467"/>
      <c r="AK5" s="468"/>
      <c r="AL5" s="469"/>
      <c r="AM5" s="285">
        <v>169422.00000000003</v>
      </c>
    </row>
    <row r="6" spans="1:39" ht="15" thickBot="1" x14ac:dyDescent="0.35">
      <c r="A6" s="570"/>
      <c r="B6" s="63" t="s">
        <v>155</v>
      </c>
      <c r="C6" s="24">
        <v>0.4</v>
      </c>
      <c r="D6" s="214">
        <v>67.2</v>
      </c>
      <c r="E6" s="21">
        <v>20536</v>
      </c>
      <c r="F6" s="24">
        <v>0.4</v>
      </c>
      <c r="G6" s="214">
        <v>64</v>
      </c>
      <c r="H6" s="21">
        <v>20536</v>
      </c>
      <c r="I6" s="24">
        <v>0.4</v>
      </c>
      <c r="J6" s="214">
        <v>73.600000000000009</v>
      </c>
      <c r="K6" s="21">
        <v>20536</v>
      </c>
      <c r="L6" s="24">
        <v>0.4</v>
      </c>
      <c r="M6" s="214">
        <v>67.2</v>
      </c>
      <c r="N6" s="21">
        <v>20536</v>
      </c>
      <c r="O6" s="24">
        <v>0.4</v>
      </c>
      <c r="P6" s="214">
        <v>70.400000000000006</v>
      </c>
      <c r="Q6" s="21">
        <v>20536</v>
      </c>
      <c r="R6" s="24">
        <v>0.4</v>
      </c>
      <c r="S6" s="214">
        <v>70.400000000000006</v>
      </c>
      <c r="T6" s="21">
        <v>20536</v>
      </c>
      <c r="U6" s="480">
        <v>0.95</v>
      </c>
      <c r="V6" s="481">
        <v>159.6</v>
      </c>
      <c r="W6" s="482">
        <v>48773</v>
      </c>
      <c r="X6" s="480">
        <v>0.95</v>
      </c>
      <c r="Y6" s="481">
        <v>174.79999999999998</v>
      </c>
      <c r="Z6" s="482">
        <v>48773</v>
      </c>
      <c r="AA6" s="480">
        <v>0.95</v>
      </c>
      <c r="AB6" s="481">
        <v>167.2</v>
      </c>
      <c r="AC6" s="482">
        <v>48773</v>
      </c>
      <c r="AD6" s="480">
        <v>0.95</v>
      </c>
      <c r="AE6" s="481">
        <v>159.6</v>
      </c>
      <c r="AF6" s="482">
        <v>48773</v>
      </c>
      <c r="AG6" s="480">
        <v>0.95</v>
      </c>
      <c r="AH6" s="481">
        <v>167.2</v>
      </c>
      <c r="AI6" s="482">
        <v>48773</v>
      </c>
      <c r="AJ6" s="480">
        <v>0.95</v>
      </c>
      <c r="AK6" s="481">
        <v>167.2</v>
      </c>
      <c r="AL6" s="482">
        <v>48773</v>
      </c>
      <c r="AM6" s="285">
        <v>415854</v>
      </c>
    </row>
    <row r="7" spans="1:39" ht="15" thickBot="1" x14ac:dyDescent="0.35">
      <c r="A7" s="571"/>
      <c r="B7" s="65" t="s">
        <v>36</v>
      </c>
      <c r="C7" s="25">
        <v>1</v>
      </c>
      <c r="D7" s="78">
        <v>168</v>
      </c>
      <c r="E7" s="13">
        <v>51340</v>
      </c>
      <c r="F7" s="25">
        <v>1</v>
      </c>
      <c r="G7" s="78">
        <v>160</v>
      </c>
      <c r="H7" s="13">
        <v>51340</v>
      </c>
      <c r="I7" s="25">
        <v>1</v>
      </c>
      <c r="J7" s="78">
        <v>184</v>
      </c>
      <c r="K7" s="13">
        <v>51340</v>
      </c>
      <c r="L7" s="25">
        <v>1</v>
      </c>
      <c r="M7" s="78">
        <v>168</v>
      </c>
      <c r="N7" s="13">
        <v>51340</v>
      </c>
      <c r="O7" s="25">
        <v>1</v>
      </c>
      <c r="P7" s="78">
        <v>176</v>
      </c>
      <c r="Q7" s="13">
        <v>51340</v>
      </c>
      <c r="R7" s="25">
        <v>1</v>
      </c>
      <c r="S7" s="78">
        <v>176</v>
      </c>
      <c r="T7" s="13">
        <v>51340</v>
      </c>
      <c r="U7" s="25">
        <v>1</v>
      </c>
      <c r="V7" s="78">
        <v>168</v>
      </c>
      <c r="W7" s="13">
        <v>51340</v>
      </c>
      <c r="X7" s="25">
        <v>1</v>
      </c>
      <c r="Y7" s="78">
        <v>183.99999999999997</v>
      </c>
      <c r="Z7" s="13">
        <v>51340</v>
      </c>
      <c r="AA7" s="25">
        <v>1</v>
      </c>
      <c r="AB7" s="78">
        <v>176</v>
      </c>
      <c r="AC7" s="13">
        <v>51340</v>
      </c>
      <c r="AD7" s="25">
        <v>1</v>
      </c>
      <c r="AE7" s="78">
        <v>168</v>
      </c>
      <c r="AF7" s="13">
        <v>51340</v>
      </c>
      <c r="AG7" s="25">
        <v>1</v>
      </c>
      <c r="AH7" s="78">
        <v>176</v>
      </c>
      <c r="AI7" s="13">
        <v>51340</v>
      </c>
      <c r="AJ7" s="25">
        <v>1</v>
      </c>
      <c r="AK7" s="78">
        <v>176</v>
      </c>
      <c r="AL7" s="13">
        <v>51340</v>
      </c>
      <c r="AM7" s="285">
        <v>616080</v>
      </c>
    </row>
    <row r="8" spans="1:39" ht="15" thickBot="1" x14ac:dyDescent="0.35">
      <c r="A8" s="569" t="s">
        <v>62</v>
      </c>
      <c r="B8" s="498" t="s">
        <v>7</v>
      </c>
      <c r="C8" s="118">
        <v>0.05</v>
      </c>
      <c r="D8" s="215">
        <v>8.4</v>
      </c>
      <c r="E8" s="455">
        <v>1973.5714285714287</v>
      </c>
      <c r="F8" s="118">
        <v>0.05</v>
      </c>
      <c r="G8" s="215">
        <v>8</v>
      </c>
      <c r="H8" s="455">
        <v>1973.5714285714287</v>
      </c>
      <c r="I8" s="118">
        <v>0.05</v>
      </c>
      <c r="J8" s="215">
        <v>9.2000000000000011</v>
      </c>
      <c r="K8" s="455">
        <v>1973.5714285714287</v>
      </c>
      <c r="L8" s="118">
        <v>0.05</v>
      </c>
      <c r="M8" s="215">
        <v>8.4</v>
      </c>
      <c r="N8" s="455">
        <v>1973.5714285714287</v>
      </c>
      <c r="O8" s="118">
        <v>0.05</v>
      </c>
      <c r="P8" s="215">
        <v>8.8000000000000007</v>
      </c>
      <c r="Q8" s="455">
        <v>1973.5714285714287</v>
      </c>
      <c r="R8" s="118">
        <v>0.05</v>
      </c>
      <c r="S8" s="215">
        <v>8.8000000000000007</v>
      </c>
      <c r="T8" s="455">
        <v>1973.5714285714287</v>
      </c>
      <c r="U8" s="118">
        <v>0.05</v>
      </c>
      <c r="V8" s="215">
        <v>8.4</v>
      </c>
      <c r="W8" s="455">
        <v>3453.75</v>
      </c>
      <c r="X8" s="118">
        <v>0.05</v>
      </c>
      <c r="Y8" s="215">
        <v>9.2000000000000011</v>
      </c>
      <c r="Z8" s="455">
        <v>3453.75</v>
      </c>
      <c r="AA8" s="118">
        <v>0.05</v>
      </c>
      <c r="AB8" s="215">
        <v>8.8000000000000007</v>
      </c>
      <c r="AC8" s="455">
        <v>3453.75</v>
      </c>
      <c r="AD8" s="118">
        <v>0.05</v>
      </c>
      <c r="AE8" s="215">
        <v>8.4</v>
      </c>
      <c r="AF8" s="455">
        <v>3453.75</v>
      </c>
      <c r="AG8" s="118">
        <v>0.05</v>
      </c>
      <c r="AH8" s="215">
        <v>8.8000000000000007</v>
      </c>
      <c r="AI8" s="455">
        <v>3453.75</v>
      </c>
      <c r="AJ8" s="118">
        <v>0.05</v>
      </c>
      <c r="AK8" s="215">
        <v>8.8000000000000007</v>
      </c>
      <c r="AL8" s="455">
        <v>3453.75</v>
      </c>
      <c r="AM8" s="285">
        <v>32563.928571428572</v>
      </c>
    </row>
    <row r="9" spans="1:39" ht="15" thickBot="1" x14ac:dyDescent="0.35">
      <c r="A9" s="570"/>
      <c r="B9" s="31" t="s">
        <v>6</v>
      </c>
      <c r="C9" s="24">
        <v>0.25</v>
      </c>
      <c r="D9" s="96">
        <v>42</v>
      </c>
      <c r="E9" s="456">
        <v>9867.8571428571431</v>
      </c>
      <c r="F9" s="24">
        <v>0.25</v>
      </c>
      <c r="G9" s="96">
        <v>40</v>
      </c>
      <c r="H9" s="456">
        <v>9867.8571428571431</v>
      </c>
      <c r="I9" s="24">
        <v>0.25</v>
      </c>
      <c r="J9" s="96">
        <v>46</v>
      </c>
      <c r="K9" s="456">
        <v>9867.8571428571431</v>
      </c>
      <c r="L9" s="24">
        <v>0.25</v>
      </c>
      <c r="M9" s="96">
        <v>42</v>
      </c>
      <c r="N9" s="456">
        <v>9867.8571428571431</v>
      </c>
      <c r="O9" s="24">
        <v>0.25</v>
      </c>
      <c r="P9" s="96">
        <v>44</v>
      </c>
      <c r="Q9" s="456">
        <v>9867.8571428571431</v>
      </c>
      <c r="R9" s="24">
        <v>0.25</v>
      </c>
      <c r="S9" s="96">
        <v>44</v>
      </c>
      <c r="T9" s="456">
        <v>9867.8571428571431</v>
      </c>
      <c r="U9" s="24">
        <v>0.25</v>
      </c>
      <c r="V9" s="96">
        <v>42</v>
      </c>
      <c r="W9" s="456">
        <v>17268.75</v>
      </c>
      <c r="X9" s="24">
        <v>0.25</v>
      </c>
      <c r="Y9" s="96">
        <v>46</v>
      </c>
      <c r="Z9" s="456">
        <v>17268.75</v>
      </c>
      <c r="AA9" s="24">
        <v>0.25</v>
      </c>
      <c r="AB9" s="96">
        <v>44</v>
      </c>
      <c r="AC9" s="456">
        <v>17268.75</v>
      </c>
      <c r="AD9" s="24">
        <v>0.25</v>
      </c>
      <c r="AE9" s="96">
        <v>42</v>
      </c>
      <c r="AF9" s="456">
        <v>17268.75</v>
      </c>
      <c r="AG9" s="24">
        <v>0.25</v>
      </c>
      <c r="AH9" s="96">
        <v>44</v>
      </c>
      <c r="AI9" s="456">
        <v>17268.75</v>
      </c>
      <c r="AJ9" s="24">
        <v>0.25</v>
      </c>
      <c r="AK9" s="96">
        <v>44</v>
      </c>
      <c r="AL9" s="456">
        <v>17268.75</v>
      </c>
      <c r="AM9" s="285">
        <v>162819.64285714287</v>
      </c>
    </row>
    <row r="10" spans="1:39" ht="15" thickBot="1" x14ac:dyDescent="0.35">
      <c r="A10" s="570"/>
      <c r="B10" s="31" t="s">
        <v>9</v>
      </c>
      <c r="C10" s="24">
        <v>0.3</v>
      </c>
      <c r="D10" s="117">
        <v>50.4</v>
      </c>
      <c r="E10" s="456">
        <v>11841.428571428571</v>
      </c>
      <c r="F10" s="24">
        <v>0.3</v>
      </c>
      <c r="G10" s="117">
        <v>48</v>
      </c>
      <c r="H10" s="456">
        <v>11841.428571428571</v>
      </c>
      <c r="I10" s="24">
        <v>0.3</v>
      </c>
      <c r="J10" s="117">
        <v>55.199999999999996</v>
      </c>
      <c r="K10" s="456">
        <v>11841.428571428571</v>
      </c>
      <c r="L10" s="24">
        <v>0.3</v>
      </c>
      <c r="M10" s="117">
        <v>50.4</v>
      </c>
      <c r="N10" s="456">
        <v>11841.428571428571</v>
      </c>
      <c r="O10" s="24">
        <v>0.3</v>
      </c>
      <c r="P10" s="117">
        <v>52.8</v>
      </c>
      <c r="Q10" s="456">
        <v>11841.428571428571</v>
      </c>
      <c r="R10" s="24">
        <v>0.3</v>
      </c>
      <c r="S10" s="117">
        <v>52.8</v>
      </c>
      <c r="T10" s="456">
        <v>11841.428571428571</v>
      </c>
      <c r="U10" s="467"/>
      <c r="V10" s="479"/>
      <c r="W10" s="469"/>
      <c r="X10" s="467"/>
      <c r="Y10" s="479"/>
      <c r="Z10" s="469"/>
      <c r="AA10" s="467"/>
      <c r="AB10" s="479"/>
      <c r="AC10" s="469"/>
      <c r="AD10" s="467"/>
      <c r="AE10" s="479"/>
      <c r="AF10" s="469"/>
      <c r="AG10" s="467"/>
      <c r="AH10" s="479"/>
      <c r="AI10" s="469"/>
      <c r="AJ10" s="467"/>
      <c r="AK10" s="479"/>
      <c r="AL10" s="469"/>
      <c r="AM10" s="285">
        <v>71048.57142857142</v>
      </c>
    </row>
    <row r="11" spans="1:39" ht="15" thickBot="1" x14ac:dyDescent="0.35">
      <c r="A11" s="570"/>
      <c r="B11" s="31" t="s">
        <v>29</v>
      </c>
      <c r="C11" s="24">
        <v>0.1</v>
      </c>
      <c r="D11" s="117">
        <v>16.8</v>
      </c>
      <c r="E11" s="456">
        <v>3947.1428571428573</v>
      </c>
      <c r="F11" s="24">
        <v>0.1</v>
      </c>
      <c r="G11" s="117">
        <v>16</v>
      </c>
      <c r="H11" s="456">
        <v>3947.1428571428573</v>
      </c>
      <c r="I11" s="24">
        <v>0.1</v>
      </c>
      <c r="J11" s="117">
        <v>18.400000000000002</v>
      </c>
      <c r="K11" s="456">
        <v>3947.1428571428573</v>
      </c>
      <c r="L11" s="24">
        <v>0.1</v>
      </c>
      <c r="M11" s="117">
        <v>16.8</v>
      </c>
      <c r="N11" s="456">
        <v>3947.1428571428573</v>
      </c>
      <c r="O11" s="24">
        <v>0.1</v>
      </c>
      <c r="P11" s="117">
        <v>17.600000000000001</v>
      </c>
      <c r="Q11" s="456">
        <v>3947.1428571428573</v>
      </c>
      <c r="R11" s="24">
        <v>0.1</v>
      </c>
      <c r="S11" s="117">
        <v>17.600000000000001</v>
      </c>
      <c r="T11" s="456">
        <v>3947.1428571428573</v>
      </c>
      <c r="U11" s="480">
        <v>0.1</v>
      </c>
      <c r="V11" s="481">
        <v>16.8</v>
      </c>
      <c r="W11" s="482">
        <v>6907.5</v>
      </c>
      <c r="X11" s="480">
        <v>0.1</v>
      </c>
      <c r="Y11" s="481">
        <v>18.400000000000002</v>
      </c>
      <c r="Z11" s="482">
        <v>6907.5</v>
      </c>
      <c r="AA11" s="480">
        <v>0.1</v>
      </c>
      <c r="AB11" s="481">
        <v>17.600000000000001</v>
      </c>
      <c r="AC11" s="482">
        <v>6907.5</v>
      </c>
      <c r="AD11" s="480">
        <v>0.1</v>
      </c>
      <c r="AE11" s="481">
        <v>16.8</v>
      </c>
      <c r="AF11" s="482">
        <v>6907.5</v>
      </c>
      <c r="AG11" s="480">
        <v>0.1</v>
      </c>
      <c r="AH11" s="481">
        <v>17.600000000000001</v>
      </c>
      <c r="AI11" s="482">
        <v>6907.5</v>
      </c>
      <c r="AJ11" s="480">
        <v>0.1</v>
      </c>
      <c r="AK11" s="481">
        <v>17.600000000000001</v>
      </c>
      <c r="AL11" s="482">
        <v>6907.5</v>
      </c>
      <c r="AM11" s="285">
        <v>65127.857142857145</v>
      </c>
    </row>
    <row r="12" spans="1:39" ht="15" thickBot="1" x14ac:dyDescent="0.35">
      <c r="A12" s="571"/>
      <c r="B12" s="499" t="s">
        <v>36</v>
      </c>
      <c r="C12" s="25">
        <v>0.7</v>
      </c>
      <c r="D12" s="500">
        <v>117.6</v>
      </c>
      <c r="E12" s="13">
        <v>27630.000000000004</v>
      </c>
      <c r="F12" s="25">
        <v>0.7</v>
      </c>
      <c r="G12" s="500">
        <v>112</v>
      </c>
      <c r="H12" s="13">
        <v>27630.000000000004</v>
      </c>
      <c r="I12" s="25">
        <v>0.7</v>
      </c>
      <c r="J12" s="500">
        <v>128.80000000000001</v>
      </c>
      <c r="K12" s="13">
        <v>27630.000000000004</v>
      </c>
      <c r="L12" s="25">
        <v>0.7</v>
      </c>
      <c r="M12" s="500">
        <v>117.6</v>
      </c>
      <c r="N12" s="13">
        <v>27630.000000000004</v>
      </c>
      <c r="O12" s="25">
        <v>0.7</v>
      </c>
      <c r="P12" s="500">
        <v>123.19999999999999</v>
      </c>
      <c r="Q12" s="13">
        <v>27630.000000000004</v>
      </c>
      <c r="R12" s="25">
        <v>0.7</v>
      </c>
      <c r="S12" s="500">
        <v>123.19999999999999</v>
      </c>
      <c r="T12" s="13">
        <v>27630.000000000004</v>
      </c>
      <c r="U12" s="25">
        <v>0.4</v>
      </c>
      <c r="V12" s="500">
        <v>67.2</v>
      </c>
      <c r="W12" s="13">
        <v>27630</v>
      </c>
      <c r="X12" s="25">
        <v>0.4</v>
      </c>
      <c r="Y12" s="500">
        <v>73.600000000000009</v>
      </c>
      <c r="Z12" s="13">
        <v>27630</v>
      </c>
      <c r="AA12" s="25">
        <v>0.4</v>
      </c>
      <c r="AB12" s="500">
        <v>70.400000000000006</v>
      </c>
      <c r="AC12" s="13">
        <v>27630</v>
      </c>
      <c r="AD12" s="25">
        <v>0.4</v>
      </c>
      <c r="AE12" s="500">
        <v>67.2</v>
      </c>
      <c r="AF12" s="13">
        <v>27630</v>
      </c>
      <c r="AG12" s="25">
        <v>0.4</v>
      </c>
      <c r="AH12" s="500">
        <v>70.400000000000006</v>
      </c>
      <c r="AI12" s="13">
        <v>27630</v>
      </c>
      <c r="AJ12" s="25">
        <v>0.4</v>
      </c>
      <c r="AK12" s="500">
        <v>70.400000000000006</v>
      </c>
      <c r="AL12" s="13">
        <v>27630</v>
      </c>
      <c r="AM12" s="285">
        <v>331560</v>
      </c>
    </row>
    <row r="13" spans="1:39" ht="15" thickBot="1" x14ac:dyDescent="0.35">
      <c r="A13" s="569" t="s">
        <v>63</v>
      </c>
      <c r="B13" s="38" t="s">
        <v>7</v>
      </c>
      <c r="C13" s="118">
        <v>0.05</v>
      </c>
      <c r="D13" s="212">
        <v>8.4</v>
      </c>
      <c r="E13" s="213">
        <v>1882</v>
      </c>
      <c r="F13" s="118">
        <v>0.05</v>
      </c>
      <c r="G13" s="212">
        <v>8</v>
      </c>
      <c r="H13" s="213">
        <v>1882</v>
      </c>
      <c r="I13" s="118">
        <v>0.05</v>
      </c>
      <c r="J13" s="212">
        <v>9.2000000000000011</v>
      </c>
      <c r="K13" s="213">
        <v>1882</v>
      </c>
      <c r="L13" s="118">
        <v>0.05</v>
      </c>
      <c r="M13" s="212">
        <v>8.4</v>
      </c>
      <c r="N13" s="213">
        <v>1882</v>
      </c>
      <c r="O13" s="118">
        <v>0.05</v>
      </c>
      <c r="P13" s="212">
        <v>8.8000000000000007</v>
      </c>
      <c r="Q13" s="213">
        <v>1882</v>
      </c>
      <c r="R13" s="118">
        <v>0.05</v>
      </c>
      <c r="S13" s="212">
        <v>8.8000000000000007</v>
      </c>
      <c r="T13" s="213">
        <v>1882</v>
      </c>
      <c r="U13" s="118">
        <v>0.05</v>
      </c>
      <c r="V13" s="212">
        <v>8.4</v>
      </c>
      <c r="W13" s="213">
        <v>1882</v>
      </c>
      <c r="X13" s="118">
        <v>0.05</v>
      </c>
      <c r="Y13" s="212">
        <v>9.2000000000000011</v>
      </c>
      <c r="Z13" s="213">
        <v>1882</v>
      </c>
      <c r="AA13" s="118">
        <v>0.05</v>
      </c>
      <c r="AB13" s="212">
        <v>8.8000000000000007</v>
      </c>
      <c r="AC13" s="213">
        <v>1882</v>
      </c>
      <c r="AD13" s="118">
        <v>0.05</v>
      </c>
      <c r="AE13" s="212">
        <v>8.4</v>
      </c>
      <c r="AF13" s="213">
        <v>1882</v>
      </c>
      <c r="AG13" s="118">
        <v>0.05</v>
      </c>
      <c r="AH13" s="212">
        <v>8.8000000000000007</v>
      </c>
      <c r="AI13" s="213">
        <v>1882</v>
      </c>
      <c r="AJ13" s="118">
        <v>0.05</v>
      </c>
      <c r="AK13" s="212">
        <v>8.8000000000000007</v>
      </c>
      <c r="AL13" s="213">
        <v>1882</v>
      </c>
      <c r="AM13" s="285">
        <v>22584</v>
      </c>
    </row>
    <row r="14" spans="1:39" ht="15" thickBot="1" x14ac:dyDescent="0.35">
      <c r="A14" s="570"/>
      <c r="B14" s="39" t="s">
        <v>9</v>
      </c>
      <c r="C14" s="24">
        <v>0.95</v>
      </c>
      <c r="D14" s="117">
        <v>159.6</v>
      </c>
      <c r="E14" s="21">
        <v>35758</v>
      </c>
      <c r="F14" s="24">
        <v>0.95</v>
      </c>
      <c r="G14" s="117">
        <v>152</v>
      </c>
      <c r="H14" s="21">
        <v>35758</v>
      </c>
      <c r="I14" s="24">
        <v>0.95</v>
      </c>
      <c r="J14" s="117">
        <v>174.79999999999998</v>
      </c>
      <c r="K14" s="21">
        <v>35758</v>
      </c>
      <c r="L14" s="24">
        <v>0.95</v>
      </c>
      <c r="M14" s="117">
        <v>159.6</v>
      </c>
      <c r="N14" s="21">
        <v>35758</v>
      </c>
      <c r="O14" s="24">
        <v>0.95</v>
      </c>
      <c r="P14" s="117">
        <v>167.2</v>
      </c>
      <c r="Q14" s="21">
        <v>35758</v>
      </c>
      <c r="R14" s="24">
        <v>0.95</v>
      </c>
      <c r="S14" s="117">
        <v>167.2</v>
      </c>
      <c r="T14" s="21">
        <v>35758</v>
      </c>
      <c r="U14" s="467"/>
      <c r="V14" s="479"/>
      <c r="W14" s="469"/>
      <c r="X14" s="467"/>
      <c r="Y14" s="479"/>
      <c r="Z14" s="469"/>
      <c r="AA14" s="467"/>
      <c r="AB14" s="479"/>
      <c r="AC14" s="469"/>
      <c r="AD14" s="467"/>
      <c r="AE14" s="479"/>
      <c r="AF14" s="469"/>
      <c r="AG14" s="467"/>
      <c r="AH14" s="479"/>
      <c r="AI14" s="469"/>
      <c r="AJ14" s="467"/>
      <c r="AK14" s="479"/>
      <c r="AL14" s="469"/>
      <c r="AM14" s="285">
        <v>214548</v>
      </c>
    </row>
    <row r="15" spans="1:39" ht="15" thickBot="1" x14ac:dyDescent="0.35">
      <c r="A15" s="570"/>
      <c r="B15" s="39" t="s">
        <v>30</v>
      </c>
      <c r="C15" s="24"/>
      <c r="D15" s="117"/>
      <c r="E15" s="21"/>
      <c r="F15" s="24"/>
      <c r="G15" s="117"/>
      <c r="H15" s="21"/>
      <c r="I15" s="24"/>
      <c r="J15" s="117"/>
      <c r="K15" s="21"/>
      <c r="L15" s="24"/>
      <c r="M15" s="117"/>
      <c r="N15" s="21"/>
      <c r="O15" s="24"/>
      <c r="P15" s="117"/>
      <c r="Q15" s="21"/>
      <c r="R15" s="24"/>
      <c r="S15" s="117"/>
      <c r="T15" s="21"/>
      <c r="U15" s="480">
        <v>0.95</v>
      </c>
      <c r="V15" s="490">
        <v>159.6</v>
      </c>
      <c r="W15" s="482">
        <v>35758</v>
      </c>
      <c r="X15" s="480">
        <v>0.95</v>
      </c>
      <c r="Y15" s="490">
        <v>174.79999999999998</v>
      </c>
      <c r="Z15" s="482">
        <v>35758</v>
      </c>
      <c r="AA15" s="480">
        <v>0.95</v>
      </c>
      <c r="AB15" s="490">
        <v>167.2</v>
      </c>
      <c r="AC15" s="482">
        <v>35758</v>
      </c>
      <c r="AD15" s="467"/>
      <c r="AE15" s="479"/>
      <c r="AF15" s="469"/>
      <c r="AG15" s="467"/>
      <c r="AH15" s="479"/>
      <c r="AI15" s="469"/>
      <c r="AJ15" s="467"/>
      <c r="AK15" s="479"/>
      <c r="AL15" s="469"/>
      <c r="AM15" s="285">
        <v>107274</v>
      </c>
    </row>
    <row r="16" spans="1:39" ht="15" thickBot="1" x14ac:dyDescent="0.35">
      <c r="A16" s="570"/>
      <c r="B16" s="39" t="s">
        <v>155</v>
      </c>
      <c r="C16" s="467"/>
      <c r="D16" s="479"/>
      <c r="E16" s="469"/>
      <c r="F16" s="467"/>
      <c r="G16" s="479"/>
      <c r="H16" s="469"/>
      <c r="I16" s="467"/>
      <c r="J16" s="479"/>
      <c r="K16" s="469"/>
      <c r="L16" s="467"/>
      <c r="M16" s="479"/>
      <c r="N16" s="469"/>
      <c r="O16" s="467"/>
      <c r="P16" s="479"/>
      <c r="Q16" s="469"/>
      <c r="R16" s="467"/>
      <c r="S16" s="479"/>
      <c r="T16" s="469"/>
      <c r="U16" s="467"/>
      <c r="V16" s="479"/>
      <c r="W16" s="469"/>
      <c r="X16" s="467"/>
      <c r="Y16" s="479"/>
      <c r="Z16" s="469"/>
      <c r="AA16" s="467"/>
      <c r="AB16" s="479"/>
      <c r="AC16" s="469"/>
      <c r="AD16" s="480">
        <v>0.95</v>
      </c>
      <c r="AE16" s="490">
        <v>159.6</v>
      </c>
      <c r="AF16" s="482">
        <v>35758</v>
      </c>
      <c r="AG16" s="480">
        <v>0.95</v>
      </c>
      <c r="AH16" s="490">
        <v>167.2</v>
      </c>
      <c r="AI16" s="482">
        <v>35758</v>
      </c>
      <c r="AJ16" s="480">
        <v>0.95</v>
      </c>
      <c r="AK16" s="490">
        <v>167.2</v>
      </c>
      <c r="AL16" s="482">
        <v>35758</v>
      </c>
      <c r="AM16" s="285">
        <v>107274</v>
      </c>
    </row>
    <row r="17" spans="1:39" ht="15" thickBot="1" x14ac:dyDescent="0.35">
      <c r="A17" s="571"/>
      <c r="B17" s="501" t="s">
        <v>36</v>
      </c>
      <c r="C17" s="25">
        <v>1</v>
      </c>
      <c r="D17" s="78">
        <v>168</v>
      </c>
      <c r="E17" s="13">
        <v>37640</v>
      </c>
      <c r="F17" s="25">
        <v>1</v>
      </c>
      <c r="G17" s="78">
        <v>160</v>
      </c>
      <c r="H17" s="13">
        <v>37640</v>
      </c>
      <c r="I17" s="25">
        <v>1</v>
      </c>
      <c r="J17" s="78">
        <v>183.99999999999997</v>
      </c>
      <c r="K17" s="13">
        <v>37640</v>
      </c>
      <c r="L17" s="25">
        <v>1</v>
      </c>
      <c r="M17" s="78">
        <v>168</v>
      </c>
      <c r="N17" s="13">
        <v>37640</v>
      </c>
      <c r="O17" s="25">
        <v>1</v>
      </c>
      <c r="P17" s="78">
        <v>176</v>
      </c>
      <c r="Q17" s="13">
        <v>37640</v>
      </c>
      <c r="R17" s="25">
        <v>1</v>
      </c>
      <c r="S17" s="78">
        <v>176</v>
      </c>
      <c r="T17" s="13">
        <v>37640</v>
      </c>
      <c r="U17" s="25">
        <v>1</v>
      </c>
      <c r="V17" s="78">
        <v>168</v>
      </c>
      <c r="W17" s="13">
        <v>37640</v>
      </c>
      <c r="X17" s="25">
        <v>1</v>
      </c>
      <c r="Y17" s="78">
        <v>183.99999999999997</v>
      </c>
      <c r="Z17" s="13">
        <v>37640</v>
      </c>
      <c r="AA17" s="25">
        <v>1</v>
      </c>
      <c r="AB17" s="78">
        <v>176</v>
      </c>
      <c r="AC17" s="13">
        <v>37640</v>
      </c>
      <c r="AD17" s="25">
        <v>1</v>
      </c>
      <c r="AE17" s="78">
        <v>168</v>
      </c>
      <c r="AF17" s="13">
        <v>37640</v>
      </c>
      <c r="AG17" s="25">
        <v>1</v>
      </c>
      <c r="AH17" s="78">
        <v>176</v>
      </c>
      <c r="AI17" s="13">
        <v>37640</v>
      </c>
      <c r="AJ17" s="25">
        <v>1</v>
      </c>
      <c r="AK17" s="78">
        <v>176</v>
      </c>
      <c r="AL17" s="13">
        <v>37640</v>
      </c>
      <c r="AM17" s="285">
        <v>451680</v>
      </c>
    </row>
    <row r="18" spans="1:39" ht="15" thickBot="1" x14ac:dyDescent="0.35">
      <c r="A18" s="574" t="s">
        <v>64</v>
      </c>
      <c r="B18" s="62" t="s">
        <v>7</v>
      </c>
      <c r="C18" s="118">
        <v>0.05</v>
      </c>
      <c r="D18" s="212">
        <v>8.4</v>
      </c>
      <c r="E18" s="455">
        <v>1902.5333333333333</v>
      </c>
      <c r="F18" s="118">
        <v>0.05</v>
      </c>
      <c r="G18" s="212">
        <v>8</v>
      </c>
      <c r="H18" s="455">
        <v>1902.5333333333333</v>
      </c>
      <c r="I18" s="118">
        <v>0.05</v>
      </c>
      <c r="J18" s="212">
        <v>9.2000000000000011</v>
      </c>
      <c r="K18" s="455">
        <v>1902.5333333333333</v>
      </c>
      <c r="L18" s="118">
        <v>0.05</v>
      </c>
      <c r="M18" s="212">
        <v>8.4</v>
      </c>
      <c r="N18" s="455">
        <v>1902.5333333333333</v>
      </c>
      <c r="O18" s="118">
        <v>0.05</v>
      </c>
      <c r="P18" s="212">
        <v>8.8000000000000007</v>
      </c>
      <c r="Q18" s="455">
        <v>1902.5333333333333</v>
      </c>
      <c r="R18" s="118">
        <v>0.05</v>
      </c>
      <c r="S18" s="212">
        <v>8.8000000000000007</v>
      </c>
      <c r="T18" s="455">
        <v>1902.5333333333333</v>
      </c>
      <c r="U18" s="118">
        <v>0.05</v>
      </c>
      <c r="V18" s="212">
        <v>8.4</v>
      </c>
      <c r="W18" s="455">
        <v>1902.5333333333333</v>
      </c>
      <c r="X18" s="118">
        <v>0.05</v>
      </c>
      <c r="Y18" s="212">
        <v>9.2000000000000011</v>
      </c>
      <c r="Z18" s="455">
        <v>1902.5333333333333</v>
      </c>
      <c r="AA18" s="118">
        <v>0.05</v>
      </c>
      <c r="AB18" s="212">
        <v>8.8000000000000007</v>
      </c>
      <c r="AC18" s="455">
        <v>1902.5333333333333</v>
      </c>
      <c r="AD18" s="118">
        <v>0.05</v>
      </c>
      <c r="AE18" s="212">
        <v>8.4</v>
      </c>
      <c r="AF18" s="455">
        <v>1902.5333333333333</v>
      </c>
      <c r="AG18" s="118">
        <v>0.05</v>
      </c>
      <c r="AH18" s="212">
        <v>8.8000000000000007</v>
      </c>
      <c r="AI18" s="455">
        <v>1902.5333333333333</v>
      </c>
      <c r="AJ18" s="118">
        <v>0.05</v>
      </c>
      <c r="AK18" s="212">
        <v>8.8000000000000007</v>
      </c>
      <c r="AL18" s="455">
        <v>1902.5333333333333</v>
      </c>
      <c r="AM18" s="285">
        <v>22830.399999999998</v>
      </c>
    </row>
    <row r="19" spans="1:39" ht="15" thickBot="1" x14ac:dyDescent="0.35">
      <c r="A19" s="572"/>
      <c r="B19" s="63" t="s">
        <v>29</v>
      </c>
      <c r="C19" s="450">
        <v>0.7</v>
      </c>
      <c r="D19" s="117">
        <v>117.6</v>
      </c>
      <c r="E19" s="456">
        <v>26635.466666666664</v>
      </c>
      <c r="F19" s="24">
        <v>0.7</v>
      </c>
      <c r="G19" s="117">
        <v>112</v>
      </c>
      <c r="H19" s="456">
        <v>26635.466666666664</v>
      </c>
      <c r="I19" s="24">
        <v>0.7</v>
      </c>
      <c r="J19" s="117">
        <v>128.79999999999998</v>
      </c>
      <c r="K19" s="456">
        <v>26635.466666666664</v>
      </c>
      <c r="L19" s="24">
        <v>0.7</v>
      </c>
      <c r="M19" s="117">
        <v>117.6</v>
      </c>
      <c r="N19" s="456">
        <v>26635.466666666664</v>
      </c>
      <c r="O19" s="24">
        <v>0.7</v>
      </c>
      <c r="P19" s="117">
        <v>123.19999999999999</v>
      </c>
      <c r="Q19" s="456">
        <v>26635.466666666664</v>
      </c>
      <c r="R19" s="24">
        <v>0.7</v>
      </c>
      <c r="S19" s="117">
        <v>123.19999999999999</v>
      </c>
      <c r="T19" s="456">
        <v>26635.466666666664</v>
      </c>
      <c r="U19" s="24">
        <v>0.7</v>
      </c>
      <c r="V19" s="117">
        <v>117.6</v>
      </c>
      <c r="W19" s="456">
        <v>26635.466666666664</v>
      </c>
      <c r="X19" s="24">
        <v>0.7</v>
      </c>
      <c r="Y19" s="117">
        <v>128.79999999999998</v>
      </c>
      <c r="Z19" s="456">
        <v>26635.466666666664</v>
      </c>
      <c r="AA19" s="24">
        <v>0.7</v>
      </c>
      <c r="AB19" s="117">
        <v>123.19999999999999</v>
      </c>
      <c r="AC19" s="456">
        <v>26635.466666666664</v>
      </c>
      <c r="AD19" s="24">
        <v>0.7</v>
      </c>
      <c r="AE19" s="117">
        <v>117.6</v>
      </c>
      <c r="AF19" s="456">
        <v>26635.466666666664</v>
      </c>
      <c r="AG19" s="24">
        <v>0.7</v>
      </c>
      <c r="AH19" s="117">
        <v>123.19999999999999</v>
      </c>
      <c r="AI19" s="456">
        <v>26635.466666666664</v>
      </c>
      <c r="AJ19" s="24">
        <v>0.7</v>
      </c>
      <c r="AK19" s="117">
        <v>123.19999999999999</v>
      </c>
      <c r="AL19" s="456">
        <v>26635.466666666664</v>
      </c>
      <c r="AM19" s="285">
        <v>319625.60000000003</v>
      </c>
    </row>
    <row r="20" spans="1:39" ht="15" thickBot="1" x14ac:dyDescent="0.35">
      <c r="A20" s="573"/>
      <c r="B20" s="65" t="s">
        <v>36</v>
      </c>
      <c r="C20" s="25">
        <v>0.75</v>
      </c>
      <c r="D20" s="78">
        <v>126</v>
      </c>
      <c r="E20" s="79">
        <v>28537.999999999996</v>
      </c>
      <c r="F20" s="25">
        <v>0.75</v>
      </c>
      <c r="G20" s="78">
        <v>120</v>
      </c>
      <c r="H20" s="79">
        <v>28537.999999999996</v>
      </c>
      <c r="I20" s="25">
        <v>0.75</v>
      </c>
      <c r="J20" s="78">
        <v>137.99999999999997</v>
      </c>
      <c r="K20" s="79">
        <v>28537.999999999996</v>
      </c>
      <c r="L20" s="25">
        <v>0.75</v>
      </c>
      <c r="M20" s="78">
        <v>126</v>
      </c>
      <c r="N20" s="79">
        <v>28537.999999999996</v>
      </c>
      <c r="O20" s="25">
        <v>0.75</v>
      </c>
      <c r="P20" s="78">
        <v>132</v>
      </c>
      <c r="Q20" s="79">
        <v>28537.999999999996</v>
      </c>
      <c r="R20" s="25">
        <v>0.75</v>
      </c>
      <c r="S20" s="78">
        <v>132</v>
      </c>
      <c r="T20" s="79">
        <v>28537.999999999996</v>
      </c>
      <c r="U20" s="25">
        <v>0.75</v>
      </c>
      <c r="V20" s="78">
        <v>126</v>
      </c>
      <c r="W20" s="79">
        <v>28537.999999999996</v>
      </c>
      <c r="X20" s="25">
        <v>0.75</v>
      </c>
      <c r="Y20" s="78">
        <v>137.99999999999997</v>
      </c>
      <c r="Z20" s="79">
        <v>28537.999999999996</v>
      </c>
      <c r="AA20" s="25">
        <v>0.75</v>
      </c>
      <c r="AB20" s="78">
        <v>132</v>
      </c>
      <c r="AC20" s="79">
        <v>28537.999999999996</v>
      </c>
      <c r="AD20" s="25">
        <v>0.75</v>
      </c>
      <c r="AE20" s="78">
        <v>126</v>
      </c>
      <c r="AF20" s="79">
        <v>28537.999999999996</v>
      </c>
      <c r="AG20" s="25">
        <v>0.75</v>
      </c>
      <c r="AH20" s="78">
        <v>132</v>
      </c>
      <c r="AI20" s="79">
        <v>28537.999999999996</v>
      </c>
      <c r="AJ20" s="25">
        <v>0.75</v>
      </c>
      <c r="AK20" s="78">
        <v>132</v>
      </c>
      <c r="AL20" s="13">
        <v>28537.999999999996</v>
      </c>
      <c r="AM20" s="285">
        <v>342455.99999999994</v>
      </c>
    </row>
    <row r="21" spans="1:39" ht="15" thickBot="1" x14ac:dyDescent="0.35">
      <c r="A21" s="575" t="s">
        <v>65</v>
      </c>
      <c r="B21" s="62" t="s">
        <v>7</v>
      </c>
      <c r="C21" s="118">
        <v>0.05</v>
      </c>
      <c r="D21" s="215">
        <v>8.4</v>
      </c>
      <c r="E21" s="455">
        <v>1920.5500000000002</v>
      </c>
      <c r="F21" s="118">
        <v>0.05</v>
      </c>
      <c r="G21" s="215">
        <v>8</v>
      </c>
      <c r="H21" s="455">
        <v>1920.5500000000002</v>
      </c>
      <c r="I21" s="118">
        <v>0.05</v>
      </c>
      <c r="J21" s="215">
        <v>9.2000000000000011</v>
      </c>
      <c r="K21" s="455">
        <v>1920.5500000000002</v>
      </c>
      <c r="L21" s="118">
        <v>0.05</v>
      </c>
      <c r="M21" s="215">
        <v>8.4</v>
      </c>
      <c r="N21" s="455">
        <v>1920.5500000000002</v>
      </c>
      <c r="O21" s="118">
        <v>0.05</v>
      </c>
      <c r="P21" s="215">
        <v>8.8000000000000007</v>
      </c>
      <c r="Q21" s="455">
        <v>1920.5500000000002</v>
      </c>
      <c r="R21" s="118">
        <v>0.05</v>
      </c>
      <c r="S21" s="215">
        <v>8.8000000000000007</v>
      </c>
      <c r="T21" s="455">
        <v>1920.5500000000002</v>
      </c>
      <c r="U21" s="118">
        <v>0.05</v>
      </c>
      <c r="V21" s="215">
        <v>8.4</v>
      </c>
      <c r="W21" s="455">
        <v>1920.5500000000002</v>
      </c>
      <c r="X21" s="118">
        <v>0.05</v>
      </c>
      <c r="Y21" s="215">
        <v>9.2000000000000011</v>
      </c>
      <c r="Z21" s="455">
        <v>1920.5500000000002</v>
      </c>
      <c r="AA21" s="118">
        <v>0.05</v>
      </c>
      <c r="AB21" s="215">
        <v>8.8000000000000007</v>
      </c>
      <c r="AC21" s="455">
        <v>1920.5500000000002</v>
      </c>
      <c r="AD21" s="118">
        <v>0.05</v>
      </c>
      <c r="AE21" s="215">
        <v>8.4</v>
      </c>
      <c r="AF21" s="455">
        <v>1920.5500000000002</v>
      </c>
      <c r="AG21" s="118">
        <v>0.05</v>
      </c>
      <c r="AH21" s="215">
        <v>8.8000000000000007</v>
      </c>
      <c r="AI21" s="455">
        <v>1920.5500000000002</v>
      </c>
      <c r="AJ21" s="118">
        <v>0.05</v>
      </c>
      <c r="AK21" s="215">
        <v>8.8000000000000007</v>
      </c>
      <c r="AL21" s="455">
        <v>1920.5500000000002</v>
      </c>
      <c r="AM21" s="285">
        <v>23046.599999999995</v>
      </c>
    </row>
    <row r="22" spans="1:39" ht="15" thickBot="1" x14ac:dyDescent="0.35">
      <c r="A22" s="576"/>
      <c r="B22" s="63" t="s">
        <v>6</v>
      </c>
      <c r="C22" s="24">
        <v>0.2</v>
      </c>
      <c r="D22" s="96">
        <v>33.6</v>
      </c>
      <c r="E22" s="456">
        <v>7682.2000000000007</v>
      </c>
      <c r="F22" s="24">
        <v>0.2</v>
      </c>
      <c r="G22" s="96">
        <v>32</v>
      </c>
      <c r="H22" s="456">
        <v>7682.2000000000007</v>
      </c>
      <c r="I22" s="24">
        <v>0.2</v>
      </c>
      <c r="J22" s="96">
        <v>36.800000000000004</v>
      </c>
      <c r="K22" s="456">
        <v>7682.2000000000007</v>
      </c>
      <c r="L22" s="24">
        <v>0.2</v>
      </c>
      <c r="M22" s="96">
        <v>33.6</v>
      </c>
      <c r="N22" s="456">
        <v>7682.2000000000007</v>
      </c>
      <c r="O22" s="24">
        <v>0.2</v>
      </c>
      <c r="P22" s="96">
        <v>35.200000000000003</v>
      </c>
      <c r="Q22" s="456">
        <v>7682.2000000000007</v>
      </c>
      <c r="R22" s="24">
        <v>0.2</v>
      </c>
      <c r="S22" s="96">
        <v>35.200000000000003</v>
      </c>
      <c r="T22" s="456">
        <v>7682.2000000000007</v>
      </c>
      <c r="U22" s="24">
        <v>0.2</v>
      </c>
      <c r="V22" s="96">
        <v>33.6</v>
      </c>
      <c r="W22" s="456">
        <v>7682.2000000000007</v>
      </c>
      <c r="X22" s="24">
        <v>0.2</v>
      </c>
      <c r="Y22" s="96">
        <v>36.800000000000004</v>
      </c>
      <c r="Z22" s="456">
        <v>7682.2000000000007</v>
      </c>
      <c r="AA22" s="24">
        <v>0.2</v>
      </c>
      <c r="AB22" s="96">
        <v>35.200000000000003</v>
      </c>
      <c r="AC22" s="456">
        <v>7682.2000000000007</v>
      </c>
      <c r="AD22" s="24">
        <v>0.2</v>
      </c>
      <c r="AE22" s="96">
        <v>33.6</v>
      </c>
      <c r="AF22" s="456">
        <v>7682.2000000000007</v>
      </c>
      <c r="AG22" s="24">
        <v>0.2</v>
      </c>
      <c r="AH22" s="96">
        <v>35.200000000000003</v>
      </c>
      <c r="AI22" s="456">
        <v>7682.2000000000007</v>
      </c>
      <c r="AJ22" s="24">
        <v>0.2</v>
      </c>
      <c r="AK22" s="96">
        <v>35.200000000000003</v>
      </c>
      <c r="AL22" s="456">
        <v>7682.2000000000007</v>
      </c>
      <c r="AM22" s="285">
        <v>92186.39999999998</v>
      </c>
    </row>
    <row r="23" spans="1:39" ht="15" thickBot="1" x14ac:dyDescent="0.35">
      <c r="A23" s="576"/>
      <c r="B23" s="63" t="s">
        <v>9</v>
      </c>
      <c r="C23" s="24">
        <v>0.5</v>
      </c>
      <c r="D23" s="96">
        <v>84</v>
      </c>
      <c r="E23" s="456">
        <v>19205.5</v>
      </c>
      <c r="F23" s="24">
        <v>0.5</v>
      </c>
      <c r="G23" s="96">
        <v>80</v>
      </c>
      <c r="H23" s="456">
        <v>19205.5</v>
      </c>
      <c r="I23" s="24">
        <v>0.5</v>
      </c>
      <c r="J23" s="96">
        <v>92</v>
      </c>
      <c r="K23" s="456">
        <v>19205.5</v>
      </c>
      <c r="L23" s="24">
        <v>0.5</v>
      </c>
      <c r="M23" s="96">
        <v>84</v>
      </c>
      <c r="N23" s="456">
        <v>19205.5</v>
      </c>
      <c r="O23" s="24">
        <v>0.5</v>
      </c>
      <c r="P23" s="96">
        <v>88</v>
      </c>
      <c r="Q23" s="456">
        <v>19205.5</v>
      </c>
      <c r="R23" s="24">
        <v>0.5</v>
      </c>
      <c r="S23" s="96">
        <v>88</v>
      </c>
      <c r="T23" s="456">
        <v>19205.5</v>
      </c>
      <c r="U23" s="467"/>
      <c r="V23" s="486"/>
      <c r="W23" s="487"/>
      <c r="X23" s="467"/>
      <c r="Y23" s="486"/>
      <c r="Z23" s="487"/>
      <c r="AA23" s="467"/>
      <c r="AB23" s="486"/>
      <c r="AC23" s="487"/>
      <c r="AD23" s="467"/>
      <c r="AE23" s="486"/>
      <c r="AF23" s="487"/>
      <c r="AG23" s="467"/>
      <c r="AH23" s="486"/>
      <c r="AI23" s="487"/>
      <c r="AJ23" s="467"/>
      <c r="AK23" s="486"/>
      <c r="AL23" s="487"/>
      <c r="AM23" s="285">
        <v>115233</v>
      </c>
    </row>
    <row r="24" spans="1:39" ht="15" thickBot="1" x14ac:dyDescent="0.35">
      <c r="A24" s="576"/>
      <c r="B24" s="63" t="s">
        <v>29</v>
      </c>
      <c r="C24" s="24">
        <v>0.25</v>
      </c>
      <c r="D24" s="96">
        <v>42</v>
      </c>
      <c r="E24" s="456">
        <v>9602.75</v>
      </c>
      <c r="F24" s="24">
        <v>0.25</v>
      </c>
      <c r="G24" s="96">
        <v>40</v>
      </c>
      <c r="H24" s="456">
        <v>9602.75</v>
      </c>
      <c r="I24" s="24">
        <v>0.25</v>
      </c>
      <c r="J24" s="96">
        <v>46</v>
      </c>
      <c r="K24" s="456">
        <v>9602.75</v>
      </c>
      <c r="L24" s="24">
        <v>0.25</v>
      </c>
      <c r="M24" s="96">
        <v>42</v>
      </c>
      <c r="N24" s="456">
        <v>9602.75</v>
      </c>
      <c r="O24" s="24">
        <v>0.25</v>
      </c>
      <c r="P24" s="96">
        <v>44</v>
      </c>
      <c r="Q24" s="456">
        <v>9602.75</v>
      </c>
      <c r="R24" s="24">
        <v>0.25</v>
      </c>
      <c r="S24" s="96">
        <v>44</v>
      </c>
      <c r="T24" s="456">
        <v>9602.75</v>
      </c>
      <c r="U24" s="480">
        <v>0.75</v>
      </c>
      <c r="V24" s="488">
        <v>126</v>
      </c>
      <c r="W24" s="489">
        <v>28808.25</v>
      </c>
      <c r="X24" s="480">
        <v>0.75</v>
      </c>
      <c r="Y24" s="488">
        <v>138</v>
      </c>
      <c r="Z24" s="489">
        <v>28808.25</v>
      </c>
      <c r="AA24" s="480">
        <v>0.75</v>
      </c>
      <c r="AB24" s="488">
        <v>132</v>
      </c>
      <c r="AC24" s="489">
        <v>28808.25</v>
      </c>
      <c r="AD24" s="480">
        <v>0.75</v>
      </c>
      <c r="AE24" s="488">
        <v>126</v>
      </c>
      <c r="AF24" s="489">
        <v>28808.25</v>
      </c>
      <c r="AG24" s="480">
        <v>0.75</v>
      </c>
      <c r="AH24" s="488">
        <v>132</v>
      </c>
      <c r="AI24" s="489">
        <v>28808.25</v>
      </c>
      <c r="AJ24" s="480">
        <v>0.75</v>
      </c>
      <c r="AK24" s="488">
        <v>132</v>
      </c>
      <c r="AL24" s="489">
        <v>28808.25</v>
      </c>
      <c r="AM24" s="285">
        <v>230466</v>
      </c>
    </row>
    <row r="25" spans="1:39" ht="15" thickBot="1" x14ac:dyDescent="0.35">
      <c r="A25" s="577"/>
      <c r="B25" s="65" t="s">
        <v>36</v>
      </c>
      <c r="C25" s="25">
        <v>1</v>
      </c>
      <c r="D25" s="78">
        <v>168</v>
      </c>
      <c r="E25" s="13">
        <v>38411</v>
      </c>
      <c r="F25" s="25">
        <v>1</v>
      </c>
      <c r="G25" s="78">
        <v>160</v>
      </c>
      <c r="H25" s="13">
        <v>38411</v>
      </c>
      <c r="I25" s="25">
        <v>1</v>
      </c>
      <c r="J25" s="78">
        <v>184</v>
      </c>
      <c r="K25" s="13">
        <v>38411</v>
      </c>
      <c r="L25" s="25">
        <v>1</v>
      </c>
      <c r="M25" s="78">
        <v>168</v>
      </c>
      <c r="N25" s="13">
        <v>38411</v>
      </c>
      <c r="O25" s="25">
        <v>1</v>
      </c>
      <c r="P25" s="78">
        <v>176</v>
      </c>
      <c r="Q25" s="13">
        <v>38411</v>
      </c>
      <c r="R25" s="25">
        <v>1</v>
      </c>
      <c r="S25" s="78">
        <v>176</v>
      </c>
      <c r="T25" s="13">
        <v>38411</v>
      </c>
      <c r="U25" s="25">
        <v>1</v>
      </c>
      <c r="V25" s="78">
        <v>168</v>
      </c>
      <c r="W25" s="13">
        <v>38411</v>
      </c>
      <c r="X25" s="25">
        <v>1</v>
      </c>
      <c r="Y25" s="78">
        <v>184</v>
      </c>
      <c r="Z25" s="13">
        <v>38411</v>
      </c>
      <c r="AA25" s="25">
        <v>1</v>
      </c>
      <c r="AB25" s="78">
        <v>176</v>
      </c>
      <c r="AC25" s="13">
        <v>38411</v>
      </c>
      <c r="AD25" s="25">
        <v>1</v>
      </c>
      <c r="AE25" s="78">
        <v>168</v>
      </c>
      <c r="AF25" s="13">
        <v>38411</v>
      </c>
      <c r="AG25" s="25">
        <v>1</v>
      </c>
      <c r="AH25" s="78">
        <v>176</v>
      </c>
      <c r="AI25" s="13">
        <v>38411</v>
      </c>
      <c r="AJ25" s="25">
        <v>1</v>
      </c>
      <c r="AK25" s="78">
        <v>176</v>
      </c>
      <c r="AL25" s="13">
        <v>38411</v>
      </c>
      <c r="AM25" s="285">
        <v>460932</v>
      </c>
    </row>
    <row r="26" spans="1:39" ht="15" thickBot="1" x14ac:dyDescent="0.35">
      <c r="A26" s="591" t="s">
        <v>66</v>
      </c>
      <c r="B26" s="497" t="s">
        <v>7</v>
      </c>
      <c r="C26" s="26">
        <v>0.05</v>
      </c>
      <c r="D26" s="214">
        <v>8.4</v>
      </c>
      <c r="E26" s="17">
        <v>2724.9999999999995</v>
      </c>
      <c r="F26" s="26">
        <v>0.05</v>
      </c>
      <c r="G26" s="214">
        <v>8</v>
      </c>
      <c r="H26" s="17">
        <v>2724.9999999999995</v>
      </c>
      <c r="I26" s="26">
        <v>0.05</v>
      </c>
      <c r="J26" s="214">
        <v>9.2000000000000011</v>
      </c>
      <c r="K26" s="17">
        <v>2724.9999999999995</v>
      </c>
      <c r="L26" s="26">
        <v>0.05</v>
      </c>
      <c r="M26" s="214">
        <v>8.4</v>
      </c>
      <c r="N26" s="17">
        <v>2724.9999999999995</v>
      </c>
      <c r="O26" s="26">
        <v>0.05</v>
      </c>
      <c r="P26" s="214">
        <v>8.8000000000000007</v>
      </c>
      <c r="Q26" s="17">
        <v>2724.9999999999995</v>
      </c>
      <c r="R26" s="26">
        <v>0.05</v>
      </c>
      <c r="S26" s="214">
        <v>8.8000000000000007</v>
      </c>
      <c r="T26" s="17">
        <v>2724.9999999999995</v>
      </c>
      <c r="U26" s="26">
        <v>0.05</v>
      </c>
      <c r="V26" s="214">
        <v>8.4</v>
      </c>
      <c r="W26" s="17">
        <v>2725</v>
      </c>
      <c r="X26" s="26">
        <v>0.05</v>
      </c>
      <c r="Y26" s="214">
        <v>9.2000000000000011</v>
      </c>
      <c r="Z26" s="17">
        <v>2725</v>
      </c>
      <c r="AA26" s="26">
        <v>0.05</v>
      </c>
      <c r="AB26" s="214">
        <v>8.8000000000000007</v>
      </c>
      <c r="AC26" s="17">
        <v>2725</v>
      </c>
      <c r="AD26" s="26">
        <v>0.05</v>
      </c>
      <c r="AE26" s="214">
        <v>8.4</v>
      </c>
      <c r="AF26" s="17">
        <v>2725</v>
      </c>
      <c r="AG26" s="26">
        <v>0.05</v>
      </c>
      <c r="AH26" s="214">
        <v>8.8000000000000007</v>
      </c>
      <c r="AI26" s="17">
        <v>2725</v>
      </c>
      <c r="AJ26" s="26">
        <v>0.05</v>
      </c>
      <c r="AK26" s="214">
        <v>8.8000000000000007</v>
      </c>
      <c r="AL26" s="17">
        <v>2725</v>
      </c>
      <c r="AM26" s="285">
        <v>32700</v>
      </c>
    </row>
    <row r="27" spans="1:39" ht="15" thickBot="1" x14ac:dyDescent="0.35">
      <c r="A27" s="591"/>
      <c r="B27" s="125" t="s">
        <v>6</v>
      </c>
      <c r="C27" s="24">
        <v>0.65</v>
      </c>
      <c r="D27" s="117">
        <v>109.2</v>
      </c>
      <c r="E27" s="18">
        <v>35424.999999999993</v>
      </c>
      <c r="F27" s="24">
        <v>0.65</v>
      </c>
      <c r="G27" s="117">
        <v>104</v>
      </c>
      <c r="H27" s="18">
        <v>35424.999999999993</v>
      </c>
      <c r="I27" s="24">
        <v>0.65</v>
      </c>
      <c r="J27" s="117">
        <v>119.60000000000001</v>
      </c>
      <c r="K27" s="18">
        <v>35424.999999999993</v>
      </c>
      <c r="L27" s="24">
        <v>0.65</v>
      </c>
      <c r="M27" s="117">
        <v>109.2</v>
      </c>
      <c r="N27" s="18">
        <v>35424.999999999993</v>
      </c>
      <c r="O27" s="24">
        <v>0.65</v>
      </c>
      <c r="P27" s="117">
        <v>114.4</v>
      </c>
      <c r="Q27" s="18">
        <v>35424.999999999993</v>
      </c>
      <c r="R27" s="24">
        <v>0.65</v>
      </c>
      <c r="S27" s="117">
        <v>114.4</v>
      </c>
      <c r="T27" s="18">
        <v>35424.999999999993</v>
      </c>
      <c r="U27" s="480">
        <v>0.85</v>
      </c>
      <c r="V27" s="490">
        <v>142.79999999999998</v>
      </c>
      <c r="W27" s="491">
        <v>46325</v>
      </c>
      <c r="X27" s="480">
        <v>0.85</v>
      </c>
      <c r="Y27" s="490">
        <v>156.4</v>
      </c>
      <c r="Z27" s="491">
        <v>46325</v>
      </c>
      <c r="AA27" s="480">
        <v>0.85</v>
      </c>
      <c r="AB27" s="490">
        <v>149.6</v>
      </c>
      <c r="AC27" s="491">
        <v>46325</v>
      </c>
      <c r="AD27" s="480">
        <v>0.85</v>
      </c>
      <c r="AE27" s="490">
        <v>142.79999999999998</v>
      </c>
      <c r="AF27" s="491">
        <v>46325</v>
      </c>
      <c r="AG27" s="480">
        <v>0.85</v>
      </c>
      <c r="AH27" s="490">
        <v>149.6</v>
      </c>
      <c r="AI27" s="491">
        <v>46325</v>
      </c>
      <c r="AJ27" s="480">
        <v>0.85</v>
      </c>
      <c r="AK27" s="490">
        <v>149.6</v>
      </c>
      <c r="AL27" s="491">
        <v>46325</v>
      </c>
      <c r="AM27" s="285">
        <v>490500</v>
      </c>
    </row>
    <row r="28" spans="1:39" ht="15" thickBot="1" x14ac:dyDescent="0.35">
      <c r="A28" s="591"/>
      <c r="B28" s="125" t="s">
        <v>9</v>
      </c>
      <c r="C28" s="24">
        <v>0.2</v>
      </c>
      <c r="D28" s="117">
        <v>33.6</v>
      </c>
      <c r="E28" s="18">
        <v>10899.999999999998</v>
      </c>
      <c r="F28" s="24">
        <v>0.2</v>
      </c>
      <c r="G28" s="117">
        <v>32</v>
      </c>
      <c r="H28" s="18">
        <v>10899.999999999998</v>
      </c>
      <c r="I28" s="24">
        <v>0.2</v>
      </c>
      <c r="J28" s="117">
        <v>36.800000000000004</v>
      </c>
      <c r="K28" s="18">
        <v>10899.999999999998</v>
      </c>
      <c r="L28" s="24">
        <v>0.2</v>
      </c>
      <c r="M28" s="117">
        <v>33.6</v>
      </c>
      <c r="N28" s="18">
        <v>10899.999999999998</v>
      </c>
      <c r="O28" s="24">
        <v>0.2</v>
      </c>
      <c r="P28" s="117">
        <v>35.200000000000003</v>
      </c>
      <c r="Q28" s="18">
        <v>10899.999999999998</v>
      </c>
      <c r="R28" s="24">
        <v>0.2</v>
      </c>
      <c r="S28" s="117">
        <v>35.200000000000003</v>
      </c>
      <c r="T28" s="18">
        <v>10899.999999999998</v>
      </c>
      <c r="U28" s="467"/>
      <c r="V28" s="479"/>
      <c r="W28" s="485"/>
      <c r="X28" s="467"/>
      <c r="Y28" s="479"/>
      <c r="Z28" s="485"/>
      <c r="AA28" s="467"/>
      <c r="AB28" s="479"/>
      <c r="AC28" s="485"/>
      <c r="AD28" s="467"/>
      <c r="AE28" s="479"/>
      <c r="AF28" s="485"/>
      <c r="AG28" s="467"/>
      <c r="AH28" s="479"/>
      <c r="AI28" s="485"/>
      <c r="AJ28" s="467"/>
      <c r="AK28" s="479"/>
      <c r="AL28" s="485"/>
      <c r="AM28" s="285">
        <v>65399.999999999993</v>
      </c>
    </row>
    <row r="29" spans="1:39" ht="15" thickBot="1" x14ac:dyDescent="0.35">
      <c r="A29" s="591"/>
      <c r="B29" s="125" t="s">
        <v>32</v>
      </c>
      <c r="C29" s="24">
        <v>0.1</v>
      </c>
      <c r="D29" s="117">
        <v>16.8</v>
      </c>
      <c r="E29" s="18">
        <v>5449.9999999999991</v>
      </c>
      <c r="F29" s="24">
        <v>0.1</v>
      </c>
      <c r="G29" s="117">
        <v>16</v>
      </c>
      <c r="H29" s="18">
        <v>5449.9999999999991</v>
      </c>
      <c r="I29" s="24">
        <v>0.1</v>
      </c>
      <c r="J29" s="117">
        <v>18.400000000000002</v>
      </c>
      <c r="K29" s="18">
        <v>5449.9999999999991</v>
      </c>
      <c r="L29" s="24">
        <v>0.1</v>
      </c>
      <c r="M29" s="117">
        <v>16.8</v>
      </c>
      <c r="N29" s="18">
        <v>5449.9999999999991</v>
      </c>
      <c r="O29" s="24">
        <v>0.1</v>
      </c>
      <c r="P29" s="117">
        <v>17.600000000000001</v>
      </c>
      <c r="Q29" s="18">
        <v>5449.9999999999991</v>
      </c>
      <c r="R29" s="24">
        <v>0.1</v>
      </c>
      <c r="S29" s="117">
        <v>17.600000000000001</v>
      </c>
      <c r="T29" s="18">
        <v>5449.9999999999991</v>
      </c>
      <c r="U29" s="24">
        <v>0.1</v>
      </c>
      <c r="V29" s="117">
        <v>16.8</v>
      </c>
      <c r="W29" s="18">
        <v>5450</v>
      </c>
      <c r="X29" s="24">
        <v>0.1</v>
      </c>
      <c r="Y29" s="117">
        <v>18.400000000000002</v>
      </c>
      <c r="Z29" s="18">
        <v>5450</v>
      </c>
      <c r="AA29" s="24">
        <v>0.1</v>
      </c>
      <c r="AB29" s="117">
        <v>17.600000000000001</v>
      </c>
      <c r="AC29" s="18">
        <v>5450</v>
      </c>
      <c r="AD29" s="24">
        <v>0.1</v>
      </c>
      <c r="AE29" s="117">
        <v>16.8</v>
      </c>
      <c r="AF29" s="18">
        <v>5450</v>
      </c>
      <c r="AG29" s="24">
        <v>0.1</v>
      </c>
      <c r="AH29" s="117">
        <v>17.600000000000001</v>
      </c>
      <c r="AI29" s="18">
        <v>5450</v>
      </c>
      <c r="AJ29" s="24">
        <v>0.1</v>
      </c>
      <c r="AK29" s="117">
        <v>17.600000000000001</v>
      </c>
      <c r="AL29" s="18">
        <v>5450</v>
      </c>
      <c r="AM29" s="285">
        <v>65400</v>
      </c>
    </row>
    <row r="30" spans="1:39" ht="15" thickBot="1" x14ac:dyDescent="0.35">
      <c r="A30" s="591"/>
      <c r="B30" s="121" t="s">
        <v>36</v>
      </c>
      <c r="C30" s="274">
        <v>1.0000000000000002</v>
      </c>
      <c r="D30" s="77">
        <v>168.00000000000003</v>
      </c>
      <c r="E30" s="28">
        <v>54499.999999999993</v>
      </c>
      <c r="F30" s="274">
        <v>1.0000000000000002</v>
      </c>
      <c r="G30" s="77">
        <v>160</v>
      </c>
      <c r="H30" s="28">
        <v>54499.999999999993</v>
      </c>
      <c r="I30" s="274">
        <v>1.0000000000000002</v>
      </c>
      <c r="J30" s="77">
        <v>184.00000000000003</v>
      </c>
      <c r="K30" s="28">
        <v>54499.999999999993</v>
      </c>
      <c r="L30" s="274">
        <v>1.0000000000000002</v>
      </c>
      <c r="M30" s="77">
        <v>168.00000000000003</v>
      </c>
      <c r="N30" s="28">
        <v>54499.999999999993</v>
      </c>
      <c r="O30" s="274">
        <v>1.0000000000000002</v>
      </c>
      <c r="P30" s="77">
        <v>176</v>
      </c>
      <c r="Q30" s="28">
        <v>54499.999999999993</v>
      </c>
      <c r="R30" s="274">
        <v>1.0000000000000002</v>
      </c>
      <c r="S30" s="77">
        <v>176</v>
      </c>
      <c r="T30" s="28">
        <v>54499.999999999993</v>
      </c>
      <c r="U30" s="274">
        <v>1</v>
      </c>
      <c r="V30" s="77">
        <v>168</v>
      </c>
      <c r="W30" s="28">
        <v>54500</v>
      </c>
      <c r="X30" s="274">
        <v>1</v>
      </c>
      <c r="Y30" s="77">
        <v>184</v>
      </c>
      <c r="Z30" s="28">
        <v>54500</v>
      </c>
      <c r="AA30" s="274">
        <v>1</v>
      </c>
      <c r="AB30" s="77">
        <v>176</v>
      </c>
      <c r="AC30" s="28">
        <v>54500</v>
      </c>
      <c r="AD30" s="274">
        <v>1</v>
      </c>
      <c r="AE30" s="77">
        <v>168</v>
      </c>
      <c r="AF30" s="28">
        <v>54500</v>
      </c>
      <c r="AG30" s="274">
        <v>1</v>
      </c>
      <c r="AH30" s="77">
        <v>176</v>
      </c>
      <c r="AI30" s="28">
        <v>54500</v>
      </c>
      <c r="AJ30" s="274">
        <v>1</v>
      </c>
      <c r="AK30" s="77">
        <v>176</v>
      </c>
      <c r="AL30" s="28">
        <v>54500</v>
      </c>
      <c r="AM30" s="285">
        <v>654000</v>
      </c>
    </row>
    <row r="31" spans="1:39" ht="15" thickBot="1" x14ac:dyDescent="0.35">
      <c r="A31" s="574" t="s">
        <v>81</v>
      </c>
      <c r="B31" s="38" t="s">
        <v>7</v>
      </c>
      <c r="C31" s="377">
        <v>0.05</v>
      </c>
      <c r="D31" s="212">
        <v>8.4</v>
      </c>
      <c r="E31" s="455">
        <v>1575.5500000000002</v>
      </c>
      <c r="F31" s="377">
        <v>0.05</v>
      </c>
      <c r="G31" s="212">
        <v>8</v>
      </c>
      <c r="H31" s="455">
        <v>1575.5500000000002</v>
      </c>
      <c r="I31" s="377">
        <v>0.05</v>
      </c>
      <c r="J31" s="212">
        <v>9.2000000000000011</v>
      </c>
      <c r="K31" s="455">
        <v>1575.5500000000002</v>
      </c>
      <c r="L31" s="377">
        <v>0.05</v>
      </c>
      <c r="M31" s="212">
        <v>8.4</v>
      </c>
      <c r="N31" s="455">
        <v>1575.5500000000002</v>
      </c>
      <c r="O31" s="377">
        <v>0.05</v>
      </c>
      <c r="P31" s="212">
        <v>8.8000000000000007</v>
      </c>
      <c r="Q31" s="455">
        <v>1575.5500000000002</v>
      </c>
      <c r="R31" s="377">
        <v>0.05</v>
      </c>
      <c r="S31" s="212">
        <v>8.8000000000000007</v>
      </c>
      <c r="T31" s="455">
        <v>1575.5500000000002</v>
      </c>
      <c r="U31" s="377">
        <v>0.05</v>
      </c>
      <c r="V31" s="212">
        <v>8.4</v>
      </c>
      <c r="W31" s="455">
        <v>1575.5500000000002</v>
      </c>
      <c r="X31" s="377">
        <v>0.05</v>
      </c>
      <c r="Y31" s="212">
        <v>9.2000000000000011</v>
      </c>
      <c r="Z31" s="455">
        <v>1575.5500000000002</v>
      </c>
      <c r="AA31" s="377">
        <v>0.05</v>
      </c>
      <c r="AB31" s="212">
        <v>8.8000000000000007</v>
      </c>
      <c r="AC31" s="455">
        <v>1575.5500000000002</v>
      </c>
      <c r="AD31" s="377">
        <v>0.05</v>
      </c>
      <c r="AE31" s="212">
        <v>8.4</v>
      </c>
      <c r="AF31" s="455">
        <v>1575.5500000000002</v>
      </c>
      <c r="AG31" s="377">
        <v>0.05</v>
      </c>
      <c r="AH31" s="212">
        <v>8.8000000000000007</v>
      </c>
      <c r="AI31" s="455">
        <v>1575.5500000000002</v>
      </c>
      <c r="AJ31" s="377">
        <v>0.05</v>
      </c>
      <c r="AK31" s="212">
        <v>8.8000000000000007</v>
      </c>
      <c r="AL31" s="455">
        <v>1575.5500000000002</v>
      </c>
      <c r="AM31" s="285">
        <v>18906.599999999999</v>
      </c>
    </row>
    <row r="32" spans="1:39" ht="15" thickBot="1" x14ac:dyDescent="0.35">
      <c r="A32" s="572"/>
      <c r="B32" s="39" t="s">
        <v>29</v>
      </c>
      <c r="C32" s="378">
        <v>0.85</v>
      </c>
      <c r="D32" s="117">
        <v>142.79999999999998</v>
      </c>
      <c r="E32" s="456">
        <v>26784.35</v>
      </c>
      <c r="F32" s="378">
        <v>0.85</v>
      </c>
      <c r="G32" s="117">
        <v>136</v>
      </c>
      <c r="H32" s="456">
        <v>26784.35</v>
      </c>
      <c r="I32" s="378">
        <v>0.85</v>
      </c>
      <c r="J32" s="117">
        <v>156.4</v>
      </c>
      <c r="K32" s="456">
        <v>26784.35</v>
      </c>
      <c r="L32" s="378">
        <v>0.85</v>
      </c>
      <c r="M32" s="117">
        <v>142.79999999999998</v>
      </c>
      <c r="N32" s="456">
        <v>26784.35</v>
      </c>
      <c r="O32" s="378">
        <v>0.85</v>
      </c>
      <c r="P32" s="117">
        <v>149.6</v>
      </c>
      <c r="Q32" s="456">
        <v>26784.35</v>
      </c>
      <c r="R32" s="378">
        <v>0.85</v>
      </c>
      <c r="S32" s="117">
        <v>149.6</v>
      </c>
      <c r="T32" s="456">
        <v>26784.35</v>
      </c>
      <c r="U32" s="378">
        <v>0.85</v>
      </c>
      <c r="V32" s="117">
        <v>142.79999999999998</v>
      </c>
      <c r="W32" s="456">
        <v>26784.35</v>
      </c>
      <c r="X32" s="378">
        <v>0.85</v>
      </c>
      <c r="Y32" s="117">
        <v>156.4</v>
      </c>
      <c r="Z32" s="456">
        <v>26784.35</v>
      </c>
      <c r="AA32" s="378">
        <v>0.85</v>
      </c>
      <c r="AB32" s="117">
        <v>149.6</v>
      </c>
      <c r="AC32" s="456">
        <v>26784.35</v>
      </c>
      <c r="AD32" s="492">
        <v>0.95</v>
      </c>
      <c r="AE32" s="490">
        <v>159.6</v>
      </c>
      <c r="AF32" s="489">
        <v>29935.449999999997</v>
      </c>
      <c r="AG32" s="492">
        <v>0.95</v>
      </c>
      <c r="AH32" s="490">
        <v>167.2</v>
      </c>
      <c r="AI32" s="489">
        <v>29935.449999999997</v>
      </c>
      <c r="AJ32" s="492">
        <v>0.95</v>
      </c>
      <c r="AK32" s="490">
        <v>167.2</v>
      </c>
      <c r="AL32" s="489">
        <v>29935.449999999997</v>
      </c>
      <c r="AM32" s="285">
        <v>330865.50000000006</v>
      </c>
    </row>
    <row r="33" spans="1:39" ht="15" thickBot="1" x14ac:dyDescent="0.35">
      <c r="A33" s="572"/>
      <c r="B33" s="39" t="s">
        <v>30</v>
      </c>
      <c r="C33" s="378">
        <v>0.1</v>
      </c>
      <c r="D33" s="117">
        <v>16.8</v>
      </c>
      <c r="E33" s="456">
        <v>3151.1000000000004</v>
      </c>
      <c r="F33" s="378">
        <v>0.1</v>
      </c>
      <c r="G33" s="117">
        <v>16</v>
      </c>
      <c r="H33" s="456">
        <v>3151.1000000000004</v>
      </c>
      <c r="I33" s="378">
        <v>0.1</v>
      </c>
      <c r="J33" s="117">
        <v>18.400000000000002</v>
      </c>
      <c r="K33" s="456">
        <v>3151.1000000000004</v>
      </c>
      <c r="L33" s="378">
        <v>0.1</v>
      </c>
      <c r="M33" s="117">
        <v>16.8</v>
      </c>
      <c r="N33" s="456">
        <v>3151.1000000000004</v>
      </c>
      <c r="O33" s="378">
        <v>0.1</v>
      </c>
      <c r="P33" s="117">
        <v>17.600000000000001</v>
      </c>
      <c r="Q33" s="456">
        <v>3151.1000000000004</v>
      </c>
      <c r="R33" s="378">
        <v>0.1</v>
      </c>
      <c r="S33" s="117">
        <v>17.600000000000001</v>
      </c>
      <c r="T33" s="456">
        <v>3151.1000000000004</v>
      </c>
      <c r="U33" s="378">
        <v>0.1</v>
      </c>
      <c r="V33" s="117">
        <v>16.8</v>
      </c>
      <c r="W33" s="456">
        <v>3151.1000000000004</v>
      </c>
      <c r="X33" s="378">
        <v>0.1</v>
      </c>
      <c r="Y33" s="117">
        <v>18.400000000000002</v>
      </c>
      <c r="Z33" s="456">
        <v>3151.1000000000004</v>
      </c>
      <c r="AA33" s="378">
        <v>0.1</v>
      </c>
      <c r="AB33" s="117">
        <v>17.600000000000001</v>
      </c>
      <c r="AC33" s="456">
        <v>3151.1000000000004</v>
      </c>
      <c r="AD33" s="483"/>
      <c r="AE33" s="479"/>
      <c r="AF33" s="484"/>
      <c r="AG33" s="483"/>
      <c r="AH33" s="479"/>
      <c r="AI33" s="484"/>
      <c r="AJ33" s="483"/>
      <c r="AK33" s="479"/>
      <c r="AL33" s="484"/>
      <c r="AM33" s="285">
        <v>28359.9</v>
      </c>
    </row>
    <row r="34" spans="1:39" ht="15" thickBot="1" x14ac:dyDescent="0.35">
      <c r="A34" s="572"/>
      <c r="B34" s="39" t="s">
        <v>36</v>
      </c>
      <c r="C34" s="274">
        <v>1</v>
      </c>
      <c r="D34" s="77">
        <v>168</v>
      </c>
      <c r="E34" s="28">
        <v>31511</v>
      </c>
      <c r="F34" s="274">
        <v>1</v>
      </c>
      <c r="G34" s="77">
        <v>160</v>
      </c>
      <c r="H34" s="28">
        <v>31511</v>
      </c>
      <c r="I34" s="274">
        <v>1</v>
      </c>
      <c r="J34" s="77">
        <v>184</v>
      </c>
      <c r="K34" s="28">
        <v>31511</v>
      </c>
      <c r="L34" s="274">
        <v>1</v>
      </c>
      <c r="M34" s="77">
        <v>168</v>
      </c>
      <c r="N34" s="28">
        <v>31511</v>
      </c>
      <c r="O34" s="274">
        <v>1</v>
      </c>
      <c r="P34" s="77">
        <v>176</v>
      </c>
      <c r="Q34" s="28">
        <v>31511</v>
      </c>
      <c r="R34" s="274">
        <v>1</v>
      </c>
      <c r="S34" s="77">
        <v>176</v>
      </c>
      <c r="T34" s="28">
        <v>31511</v>
      </c>
      <c r="U34" s="274">
        <v>1</v>
      </c>
      <c r="V34" s="77">
        <v>168</v>
      </c>
      <c r="W34" s="28">
        <v>31511</v>
      </c>
      <c r="X34" s="274">
        <v>1</v>
      </c>
      <c r="Y34" s="77">
        <v>184</v>
      </c>
      <c r="Z34" s="28">
        <v>31511</v>
      </c>
      <c r="AA34" s="274">
        <v>1</v>
      </c>
      <c r="AB34" s="77">
        <v>176</v>
      </c>
      <c r="AC34" s="28">
        <v>31511</v>
      </c>
      <c r="AD34" s="274">
        <v>1</v>
      </c>
      <c r="AE34" s="77">
        <v>168</v>
      </c>
      <c r="AF34" s="28">
        <v>31510.999999999996</v>
      </c>
      <c r="AG34" s="274">
        <v>1</v>
      </c>
      <c r="AH34" s="77">
        <v>176</v>
      </c>
      <c r="AI34" s="28">
        <v>31510.999999999996</v>
      </c>
      <c r="AJ34" s="274">
        <v>1</v>
      </c>
      <c r="AK34" s="77">
        <v>176</v>
      </c>
      <c r="AL34" s="28">
        <v>31510.999999999996</v>
      </c>
      <c r="AM34" s="285">
        <v>378132</v>
      </c>
    </row>
    <row r="35" spans="1:39" ht="15" thickBot="1" x14ac:dyDescent="0.35">
      <c r="A35" s="569" t="s">
        <v>68</v>
      </c>
      <c r="B35" s="62" t="s">
        <v>7</v>
      </c>
      <c r="C35" s="118">
        <v>0.05</v>
      </c>
      <c r="D35" s="212">
        <v>8.4</v>
      </c>
      <c r="E35" s="458">
        <v>2520.5500000000002</v>
      </c>
      <c r="F35" s="118">
        <v>0.05</v>
      </c>
      <c r="G35" s="212">
        <v>8</v>
      </c>
      <c r="H35" s="458">
        <v>2520.5500000000002</v>
      </c>
      <c r="I35" s="118">
        <v>0.05</v>
      </c>
      <c r="J35" s="212">
        <v>9.2000000000000011</v>
      </c>
      <c r="K35" s="458">
        <v>2520.5500000000002</v>
      </c>
      <c r="L35" s="118">
        <v>0.05</v>
      </c>
      <c r="M35" s="212">
        <v>8.4</v>
      </c>
      <c r="N35" s="458">
        <v>2520.5500000000002</v>
      </c>
      <c r="O35" s="118">
        <v>0.05</v>
      </c>
      <c r="P35" s="212">
        <v>8.8000000000000007</v>
      </c>
      <c r="Q35" s="458">
        <v>2520.5500000000002</v>
      </c>
      <c r="R35" s="118">
        <v>0.05</v>
      </c>
      <c r="S35" s="212">
        <v>8.8000000000000007</v>
      </c>
      <c r="T35" s="458">
        <v>2520.5500000000002</v>
      </c>
      <c r="U35" s="118">
        <v>0.05</v>
      </c>
      <c r="V35" s="212">
        <v>8.4</v>
      </c>
      <c r="W35" s="455">
        <v>2520.5500000000002</v>
      </c>
      <c r="X35" s="118">
        <v>0.05</v>
      </c>
      <c r="Y35" s="212">
        <v>9.2000000000000011</v>
      </c>
      <c r="Z35" s="455">
        <v>2520.5500000000002</v>
      </c>
      <c r="AA35" s="118">
        <v>0.05</v>
      </c>
      <c r="AB35" s="212">
        <v>8.8000000000000007</v>
      </c>
      <c r="AC35" s="455">
        <v>2520.5500000000002</v>
      </c>
      <c r="AD35" s="118">
        <v>0.05</v>
      </c>
      <c r="AE35" s="212">
        <v>8.4</v>
      </c>
      <c r="AF35" s="455">
        <v>2520.5500000000002</v>
      </c>
      <c r="AG35" s="118">
        <v>0.05</v>
      </c>
      <c r="AH35" s="212">
        <v>8.8000000000000007</v>
      </c>
      <c r="AI35" s="455">
        <v>2520.5500000000002</v>
      </c>
      <c r="AJ35" s="118">
        <v>0.05</v>
      </c>
      <c r="AK35" s="212">
        <v>8.8000000000000007</v>
      </c>
      <c r="AL35" s="455">
        <v>2520.5500000000002</v>
      </c>
      <c r="AM35" s="285">
        <v>30246.599999999995</v>
      </c>
    </row>
    <row r="36" spans="1:39" ht="15" thickBot="1" x14ac:dyDescent="0.35">
      <c r="A36" s="570"/>
      <c r="B36" s="63" t="s">
        <v>6</v>
      </c>
      <c r="C36" s="24">
        <v>0.1</v>
      </c>
      <c r="D36" s="117">
        <v>16.8</v>
      </c>
      <c r="E36" s="458">
        <v>5041.1000000000004</v>
      </c>
      <c r="F36" s="24">
        <v>0.1</v>
      </c>
      <c r="G36" s="117">
        <v>16</v>
      </c>
      <c r="H36" s="458">
        <v>5041.1000000000004</v>
      </c>
      <c r="I36" s="24">
        <v>0.1</v>
      </c>
      <c r="J36" s="117">
        <v>18.400000000000002</v>
      </c>
      <c r="K36" s="458">
        <v>5041.1000000000004</v>
      </c>
      <c r="L36" s="24">
        <v>0.1</v>
      </c>
      <c r="M36" s="117">
        <v>16.8</v>
      </c>
      <c r="N36" s="458">
        <v>5041.1000000000004</v>
      </c>
      <c r="O36" s="24">
        <v>0.1</v>
      </c>
      <c r="P36" s="117">
        <v>17.600000000000001</v>
      </c>
      <c r="Q36" s="458">
        <v>5041.1000000000004</v>
      </c>
      <c r="R36" s="24">
        <v>0.1</v>
      </c>
      <c r="S36" s="117">
        <v>17.600000000000001</v>
      </c>
      <c r="T36" s="458">
        <v>5041.1000000000004</v>
      </c>
      <c r="U36" s="24">
        <v>0.1</v>
      </c>
      <c r="V36" s="117">
        <v>16.8</v>
      </c>
      <c r="W36" s="456">
        <v>5041.1000000000004</v>
      </c>
      <c r="X36" s="24">
        <v>0.1</v>
      </c>
      <c r="Y36" s="117">
        <v>18.400000000000002</v>
      </c>
      <c r="Z36" s="456">
        <v>5041.1000000000004</v>
      </c>
      <c r="AA36" s="24">
        <v>0.1</v>
      </c>
      <c r="AB36" s="117">
        <v>17.600000000000001</v>
      </c>
      <c r="AC36" s="456">
        <v>5041.1000000000004</v>
      </c>
      <c r="AD36" s="480">
        <v>0.85</v>
      </c>
      <c r="AE36" s="490">
        <v>142.79999999999998</v>
      </c>
      <c r="AF36" s="489">
        <v>42849.35</v>
      </c>
      <c r="AG36" s="480">
        <v>0.85</v>
      </c>
      <c r="AH36" s="490">
        <v>149.6</v>
      </c>
      <c r="AI36" s="489">
        <v>42849.35</v>
      </c>
      <c r="AJ36" s="480">
        <v>0.85</v>
      </c>
      <c r="AK36" s="490">
        <v>149.6</v>
      </c>
      <c r="AL36" s="489">
        <v>42849.35</v>
      </c>
      <c r="AM36" s="285">
        <v>173917.95</v>
      </c>
    </row>
    <row r="37" spans="1:39" ht="15" thickBot="1" x14ac:dyDescent="0.35">
      <c r="A37" s="570"/>
      <c r="B37" s="63" t="s">
        <v>9</v>
      </c>
      <c r="C37" s="24">
        <v>0.1</v>
      </c>
      <c r="D37" s="117">
        <v>16.8</v>
      </c>
      <c r="E37" s="458">
        <v>5041.1000000000004</v>
      </c>
      <c r="F37" s="24">
        <v>0.1</v>
      </c>
      <c r="G37" s="117">
        <v>16</v>
      </c>
      <c r="H37" s="458">
        <v>5041.1000000000004</v>
      </c>
      <c r="I37" s="24">
        <v>0.1</v>
      </c>
      <c r="J37" s="117">
        <v>18.400000000000002</v>
      </c>
      <c r="K37" s="458">
        <v>5041.1000000000004</v>
      </c>
      <c r="L37" s="24">
        <v>0.1</v>
      </c>
      <c r="M37" s="117">
        <v>16.8</v>
      </c>
      <c r="N37" s="458">
        <v>5041.1000000000004</v>
      </c>
      <c r="O37" s="24">
        <v>0.1</v>
      </c>
      <c r="P37" s="117">
        <v>17.600000000000001</v>
      </c>
      <c r="Q37" s="458">
        <v>5041.1000000000004</v>
      </c>
      <c r="R37" s="24">
        <v>0.1</v>
      </c>
      <c r="S37" s="117">
        <v>17.600000000000001</v>
      </c>
      <c r="T37" s="458">
        <v>5041.1000000000004</v>
      </c>
      <c r="U37" s="467"/>
      <c r="V37" s="479"/>
      <c r="W37" s="469"/>
      <c r="X37" s="467"/>
      <c r="Y37" s="479"/>
      <c r="Z37" s="469"/>
      <c r="AA37" s="467"/>
      <c r="AB37" s="479"/>
      <c r="AC37" s="469"/>
      <c r="AD37" s="467"/>
      <c r="AE37" s="479"/>
      <c r="AF37" s="469"/>
      <c r="AG37" s="467"/>
      <c r="AH37" s="479"/>
      <c r="AI37" s="469"/>
      <c r="AJ37" s="467"/>
      <c r="AK37" s="479"/>
      <c r="AL37" s="469"/>
      <c r="AM37" s="285">
        <v>30246.6</v>
      </c>
    </row>
    <row r="38" spans="1:39" ht="15" thickBot="1" x14ac:dyDescent="0.35">
      <c r="A38" s="570"/>
      <c r="B38" s="63" t="s">
        <v>32</v>
      </c>
      <c r="C38" s="24">
        <v>0.1</v>
      </c>
      <c r="D38" s="117">
        <v>16.8</v>
      </c>
      <c r="E38" s="458">
        <v>5041.1000000000004</v>
      </c>
      <c r="F38" s="24">
        <v>0.1</v>
      </c>
      <c r="G38" s="117">
        <v>16</v>
      </c>
      <c r="H38" s="458">
        <v>5041.1000000000004</v>
      </c>
      <c r="I38" s="24">
        <v>0.1</v>
      </c>
      <c r="J38" s="117">
        <v>18.400000000000002</v>
      </c>
      <c r="K38" s="458">
        <v>5041.1000000000004</v>
      </c>
      <c r="L38" s="24">
        <v>0.1</v>
      </c>
      <c r="M38" s="117">
        <v>16.8</v>
      </c>
      <c r="N38" s="458">
        <v>5041.1000000000004</v>
      </c>
      <c r="O38" s="24">
        <v>0.1</v>
      </c>
      <c r="P38" s="117">
        <v>17.600000000000001</v>
      </c>
      <c r="Q38" s="458">
        <v>5041.1000000000004</v>
      </c>
      <c r="R38" s="24">
        <v>0.1</v>
      </c>
      <c r="S38" s="117">
        <v>17.600000000000001</v>
      </c>
      <c r="T38" s="458">
        <v>5041.1000000000004</v>
      </c>
      <c r="U38" s="24">
        <v>0.1</v>
      </c>
      <c r="V38" s="117">
        <v>16.8</v>
      </c>
      <c r="W38" s="456">
        <v>5041.1000000000004</v>
      </c>
      <c r="X38" s="24">
        <v>0.1</v>
      </c>
      <c r="Y38" s="117">
        <v>18.400000000000002</v>
      </c>
      <c r="Z38" s="456">
        <v>5041.1000000000004</v>
      </c>
      <c r="AA38" s="24">
        <v>0.1</v>
      </c>
      <c r="AB38" s="117">
        <v>17.600000000000001</v>
      </c>
      <c r="AC38" s="456">
        <v>5041.1000000000004</v>
      </c>
      <c r="AD38" s="24">
        <v>0.1</v>
      </c>
      <c r="AE38" s="117">
        <v>16.8</v>
      </c>
      <c r="AF38" s="456">
        <v>5041.1000000000004</v>
      </c>
      <c r="AG38" s="24">
        <v>0.1</v>
      </c>
      <c r="AH38" s="117">
        <v>17.600000000000001</v>
      </c>
      <c r="AI38" s="456">
        <v>5041.1000000000004</v>
      </c>
      <c r="AJ38" s="24">
        <v>0.1</v>
      </c>
      <c r="AK38" s="117">
        <v>17.600000000000001</v>
      </c>
      <c r="AL38" s="456">
        <v>5041.1000000000004</v>
      </c>
      <c r="AM38" s="285">
        <v>60493.19999999999</v>
      </c>
    </row>
    <row r="39" spans="1:39" ht="15" thickBot="1" x14ac:dyDescent="0.35">
      <c r="A39" s="570"/>
      <c r="B39" s="63" t="s">
        <v>30</v>
      </c>
      <c r="C39" s="312">
        <v>0.65</v>
      </c>
      <c r="D39" s="117">
        <v>109.2</v>
      </c>
      <c r="E39" s="458">
        <v>32767.15</v>
      </c>
      <c r="F39" s="312">
        <v>0.65</v>
      </c>
      <c r="G39" s="117">
        <v>104</v>
      </c>
      <c r="H39" s="458">
        <v>32767.15</v>
      </c>
      <c r="I39" s="312">
        <v>0.65</v>
      </c>
      <c r="J39" s="117">
        <v>119.60000000000001</v>
      </c>
      <c r="K39" s="458">
        <v>32767.15</v>
      </c>
      <c r="L39" s="312">
        <v>0.65</v>
      </c>
      <c r="M39" s="117">
        <v>109.2</v>
      </c>
      <c r="N39" s="458">
        <v>32767.15</v>
      </c>
      <c r="O39" s="312">
        <v>0.65</v>
      </c>
      <c r="P39" s="117">
        <v>114.4</v>
      </c>
      <c r="Q39" s="458">
        <v>32767.15</v>
      </c>
      <c r="R39" s="312">
        <v>0.65</v>
      </c>
      <c r="S39" s="117">
        <v>114.4</v>
      </c>
      <c r="T39" s="458">
        <v>32767.15</v>
      </c>
      <c r="U39" s="493">
        <v>0.75</v>
      </c>
      <c r="V39" s="490">
        <v>126</v>
      </c>
      <c r="W39" s="489">
        <v>37808.25</v>
      </c>
      <c r="X39" s="493">
        <v>0.75</v>
      </c>
      <c r="Y39" s="490">
        <v>138</v>
      </c>
      <c r="Z39" s="489">
        <v>37808.25</v>
      </c>
      <c r="AA39" s="493">
        <v>0.75</v>
      </c>
      <c r="AB39" s="490">
        <v>132</v>
      </c>
      <c r="AC39" s="489">
        <v>37808.25</v>
      </c>
      <c r="AD39" s="467"/>
      <c r="AE39" s="479"/>
      <c r="AF39" s="469"/>
      <c r="AG39" s="467"/>
      <c r="AH39" s="479"/>
      <c r="AI39" s="469"/>
      <c r="AJ39" s="467"/>
      <c r="AK39" s="479"/>
      <c r="AL39" s="469"/>
      <c r="AM39" s="285">
        <v>310027.65000000002</v>
      </c>
    </row>
    <row r="40" spans="1:39" ht="15" thickBot="1" x14ac:dyDescent="0.35">
      <c r="A40" s="571"/>
      <c r="B40" s="63" t="s">
        <v>36</v>
      </c>
      <c r="C40" s="277">
        <v>1</v>
      </c>
      <c r="D40" s="79">
        <v>168</v>
      </c>
      <c r="E40" s="13">
        <v>50411</v>
      </c>
      <c r="F40" s="277">
        <v>1</v>
      </c>
      <c r="G40" s="79">
        <v>160</v>
      </c>
      <c r="H40" s="13">
        <v>50411</v>
      </c>
      <c r="I40" s="277">
        <v>1</v>
      </c>
      <c r="J40" s="79">
        <v>184</v>
      </c>
      <c r="K40" s="13">
        <v>50411</v>
      </c>
      <c r="L40" s="277">
        <v>1</v>
      </c>
      <c r="M40" s="79">
        <v>168</v>
      </c>
      <c r="N40" s="13">
        <v>50411</v>
      </c>
      <c r="O40" s="277">
        <v>1</v>
      </c>
      <c r="P40" s="79">
        <v>176</v>
      </c>
      <c r="Q40" s="13">
        <v>50411</v>
      </c>
      <c r="R40" s="277">
        <v>1</v>
      </c>
      <c r="S40" s="79">
        <v>176</v>
      </c>
      <c r="T40" s="13">
        <v>50411</v>
      </c>
      <c r="U40" s="277">
        <v>1</v>
      </c>
      <c r="V40" s="79">
        <v>168</v>
      </c>
      <c r="W40" s="13">
        <v>50411</v>
      </c>
      <c r="X40" s="277">
        <v>1</v>
      </c>
      <c r="Y40" s="79">
        <v>184</v>
      </c>
      <c r="Z40" s="13">
        <v>50411</v>
      </c>
      <c r="AA40" s="277">
        <v>1</v>
      </c>
      <c r="AB40" s="79">
        <v>176</v>
      </c>
      <c r="AC40" s="13">
        <v>50411</v>
      </c>
      <c r="AD40" s="277">
        <v>1</v>
      </c>
      <c r="AE40" s="79">
        <v>168</v>
      </c>
      <c r="AF40" s="13">
        <v>50411</v>
      </c>
      <c r="AG40" s="277">
        <v>1</v>
      </c>
      <c r="AH40" s="79">
        <v>176</v>
      </c>
      <c r="AI40" s="13">
        <v>50411</v>
      </c>
      <c r="AJ40" s="277">
        <v>1</v>
      </c>
      <c r="AK40" s="79">
        <v>176</v>
      </c>
      <c r="AL40" s="13">
        <v>50411</v>
      </c>
      <c r="AM40" s="285">
        <v>604932</v>
      </c>
    </row>
  </sheetData>
  <mergeCells count="33">
    <mergeCell ref="O1:Q1"/>
    <mergeCell ref="AA2:AC2"/>
    <mergeCell ref="AD2:AF2"/>
    <mergeCell ref="AG2:AI2"/>
    <mergeCell ref="L2:N2"/>
    <mergeCell ref="O2:Q2"/>
    <mergeCell ref="R2:T2"/>
    <mergeCell ref="U2:W2"/>
    <mergeCell ref="X2:Z2"/>
    <mergeCell ref="AJ2:AL2"/>
    <mergeCell ref="X1:Z1"/>
    <mergeCell ref="AA1:AC1"/>
    <mergeCell ref="AD1:AF1"/>
    <mergeCell ref="R1:T1"/>
    <mergeCell ref="U1:W1"/>
    <mergeCell ref="AG1:AI1"/>
    <mergeCell ref="AJ1:AL1"/>
    <mergeCell ref="A35:A40"/>
    <mergeCell ref="C1:E1"/>
    <mergeCell ref="F1:H1"/>
    <mergeCell ref="I1:K1"/>
    <mergeCell ref="L1:N1"/>
    <mergeCell ref="B1:B3"/>
    <mergeCell ref="A4:A7"/>
    <mergeCell ref="A8:A12"/>
    <mergeCell ref="A13:A17"/>
    <mergeCell ref="A18:A20"/>
    <mergeCell ref="A21:A25"/>
    <mergeCell ref="A26:A30"/>
    <mergeCell ref="A31:A34"/>
    <mergeCell ref="C2:E2"/>
    <mergeCell ref="F2:H2"/>
    <mergeCell ref="I2:K2"/>
  </mergeCells>
  <conditionalFormatting sqref="C21:D24 C30:D30 F30:G30 I30:J30 L30:M30 O30:P30 R30:S30 U30:V30 C20:E20 F21:G24 I21:J24 L21:M24 O21:P24 R21:S24 U21:V22 U23:W23 C35:D39 F35:G39 I35:J39 L35:M39 O35:P39 R35:S39 C40:T40 U35:AL40 C4:AL7 C13:AL19">
    <cfRule type="cellIs" dxfId="42" priority="87" operator="lessThan">
      <formula>0.05</formula>
    </cfRule>
  </conditionalFormatting>
  <conditionalFormatting sqref="C25:W25">
    <cfRule type="cellIs" dxfId="41" priority="70" operator="lessThan">
      <formula>0.05</formula>
    </cfRule>
  </conditionalFormatting>
  <conditionalFormatting sqref="C25:W25">
    <cfRule type="containsBlanks" dxfId="40" priority="69">
      <formula>LEN(TRIM(C25))=0</formula>
    </cfRule>
  </conditionalFormatting>
  <conditionalFormatting sqref="U8:V9 C8:D12 F8:G12 I8:J12 O8:P12 L8:M12 R8:S12 U12:AL12 X8:Y9 AA8:AB9 AD8:AE9 AG8:AH9 AJ8:AK9">
    <cfRule type="cellIs" dxfId="39" priority="51" operator="lessThan">
      <formula>0.05</formula>
    </cfRule>
  </conditionalFormatting>
  <conditionalFormatting sqref="E30 H30 K30 N30 Q30 T30 W30">
    <cfRule type="cellIs" dxfId="38" priority="48" operator="lessThan">
      <formula>0.05</formula>
    </cfRule>
  </conditionalFormatting>
  <conditionalFormatting sqref="C26:W27 C29:W29">
    <cfRule type="cellIs" dxfId="37" priority="50" operator="lessThan">
      <formula>0.05</formula>
    </cfRule>
  </conditionalFormatting>
  <conditionalFormatting sqref="C28:W28">
    <cfRule type="cellIs" dxfId="36" priority="49" operator="lessThan">
      <formula>0.05</formula>
    </cfRule>
  </conditionalFormatting>
  <conditionalFormatting sqref="E30 H30 K30 N30 Q30 T30 W30">
    <cfRule type="containsBlanks" dxfId="35" priority="47">
      <formula>LEN(TRIM(E30))=0</formula>
    </cfRule>
  </conditionalFormatting>
  <conditionalFormatting sqref="C31:C33 F31:F33 I31:I33 L31:L33 O31:O33 R31:R33 U31:U33 X31:X33 AA31:AA33 AD31:AD33">
    <cfRule type="cellIs" dxfId="34" priority="46" operator="lessThan">
      <formula>0.05</formula>
    </cfRule>
  </conditionalFormatting>
  <conditionalFormatting sqref="E34 H34 K34 N34 Q34 T34 W34 Z34 AC34 AF34">
    <cfRule type="containsBlanks" dxfId="33" priority="38">
      <formula>LEN(TRIM(E34))=0</formula>
    </cfRule>
  </conditionalFormatting>
  <conditionalFormatting sqref="C34:D34 F34:G34 I34:J34 L34:M34 O34:P34 R34:S34 U34:V34 X34:Y34 AA34:AB34 AD34:AE34">
    <cfRule type="cellIs" dxfId="32" priority="40" operator="lessThan">
      <formula>0.05</formula>
    </cfRule>
  </conditionalFormatting>
  <conditionalFormatting sqref="E34 H34 K34 N34 Q34 T34 W34 Z34 AC34 AF34">
    <cfRule type="cellIs" dxfId="31" priority="39" operator="lessThan">
      <formula>0.05</formula>
    </cfRule>
  </conditionalFormatting>
  <conditionalFormatting sqref="D31:E33 G31:H33 J31:K33 M31:N33 P31:Q33 S31:T33 V31:W33 Y31:Z33 AB31:AC33 AE31:AF33">
    <cfRule type="cellIs" dxfId="30" priority="37" operator="lessThan">
      <formula>0.05</formula>
    </cfRule>
  </conditionalFormatting>
  <conditionalFormatting sqref="E8:E12 H8:H12 K8:K12 Q8:Q12 N8:N12 T8:T12">
    <cfRule type="cellIs" dxfId="29" priority="32" operator="lessThan">
      <formula>0.05</formula>
    </cfRule>
  </conditionalFormatting>
  <conditionalFormatting sqref="W8:W9 Z8:Z9 AC8:AC9 AF8:AF9 AI8:AI9 AL8:AL9">
    <cfRule type="cellIs" dxfId="28" priority="31" operator="lessThan">
      <formula>0.05</formula>
    </cfRule>
  </conditionalFormatting>
  <conditionalFormatting sqref="E21:E24 H21:H24 K21:K24 N21:N24 Q21:Q24 T21:T24">
    <cfRule type="cellIs" dxfId="27" priority="30" operator="lessThan">
      <formula>0.05</formula>
    </cfRule>
  </conditionalFormatting>
  <conditionalFormatting sqref="W21:W22">
    <cfRule type="cellIs" dxfId="26" priority="29" operator="lessThan">
      <formula>0.05</formula>
    </cfRule>
  </conditionalFormatting>
  <conditionalFormatting sqref="E35:E36 E38:E39 H35:H36 K35:K36 N35:N36 Q35:Q36 T35:T36 H38:H39 K38:K39 N38:N39 Q38:Q39 T38:T39">
    <cfRule type="cellIs" dxfId="25" priority="28" operator="lessThan">
      <formula>0.05</formula>
    </cfRule>
  </conditionalFormatting>
  <conditionalFormatting sqref="E37 H37 K37 N37 Q37 T37">
    <cfRule type="cellIs" dxfId="24" priority="27" operator="lessThan">
      <formula>0.05</formula>
    </cfRule>
  </conditionalFormatting>
  <conditionalFormatting sqref="AG31:AG33 AJ31:AJ33">
    <cfRule type="cellIs" dxfId="23" priority="26" operator="lessThan">
      <formula>0.05</formula>
    </cfRule>
  </conditionalFormatting>
  <conditionalFormatting sqref="AI34 AL34">
    <cfRule type="containsBlanks" dxfId="22" priority="23">
      <formula>LEN(TRIM(AI34))=0</formula>
    </cfRule>
  </conditionalFormatting>
  <conditionalFormatting sqref="AG34:AH34 AJ34:AK34">
    <cfRule type="cellIs" dxfId="21" priority="25" operator="lessThan">
      <formula>0.05</formula>
    </cfRule>
  </conditionalFormatting>
  <conditionalFormatting sqref="AI34 AL34">
    <cfRule type="cellIs" dxfId="20" priority="24" operator="lessThan">
      <formula>0.05</formula>
    </cfRule>
  </conditionalFormatting>
  <conditionalFormatting sqref="AH31:AI33 AK31:AL33">
    <cfRule type="cellIs" dxfId="19" priority="22" operator="lessThan">
      <formula>0.05</formula>
    </cfRule>
  </conditionalFormatting>
  <conditionalFormatting sqref="X30:Y30 AA30:AB30 AD30:AE30 AG30:AH30 AJ30:AK30">
    <cfRule type="cellIs" dxfId="18" priority="21" operator="lessThan">
      <formula>0.05</formula>
    </cfRule>
  </conditionalFormatting>
  <conditionalFormatting sqref="Z30 AC30 AF30 AI30 AL30">
    <cfRule type="cellIs" dxfId="17" priority="18" operator="lessThan">
      <formula>0.05</formula>
    </cfRule>
  </conditionalFormatting>
  <conditionalFormatting sqref="X26:AL27 X29:AL29">
    <cfRule type="cellIs" dxfId="16" priority="20" operator="lessThan">
      <formula>0.05</formula>
    </cfRule>
  </conditionalFormatting>
  <conditionalFormatting sqref="X28:AL28">
    <cfRule type="cellIs" dxfId="15" priority="19" operator="lessThan">
      <formula>0.05</formula>
    </cfRule>
  </conditionalFormatting>
  <conditionalFormatting sqref="Z30 AC30 AF30 AI30 AL30">
    <cfRule type="containsBlanks" dxfId="14" priority="17">
      <formula>LEN(TRIM(Z30))=0</formula>
    </cfRule>
  </conditionalFormatting>
  <conditionalFormatting sqref="AD21:AE22 AG21:AH22 AJ21:AK22 AD24:AE24 AG24:AH24 AJ24:AK24 AD23:AL23">
    <cfRule type="cellIs" dxfId="13" priority="16" operator="lessThan">
      <formula>0.05</formula>
    </cfRule>
  </conditionalFormatting>
  <conditionalFormatting sqref="AD25:AL25">
    <cfRule type="cellIs" dxfId="12" priority="15" operator="lessThan">
      <formula>0.05</formula>
    </cfRule>
  </conditionalFormatting>
  <conditionalFormatting sqref="AD25:AL25">
    <cfRule type="containsBlanks" dxfId="11" priority="14">
      <formula>LEN(TRIM(AD25))=0</formula>
    </cfRule>
  </conditionalFormatting>
  <conditionalFormatting sqref="AF21:AF22 AI21:AI22 AL21:AL22">
    <cfRule type="cellIs" dxfId="10" priority="12" operator="lessThan">
      <formula>0.05</formula>
    </cfRule>
  </conditionalFormatting>
  <conditionalFormatting sqref="AF24 AI24 AL24">
    <cfRule type="cellIs" dxfId="9" priority="11" operator="lessThan">
      <formula>0.05</formula>
    </cfRule>
  </conditionalFormatting>
  <conditionalFormatting sqref="F20:AL20">
    <cfRule type="cellIs" dxfId="8" priority="10" operator="lessThan">
      <formula>0.05</formula>
    </cfRule>
  </conditionalFormatting>
  <conditionalFormatting sqref="X21:Y22 AA21:AB22 X23:AC23">
    <cfRule type="cellIs" dxfId="7" priority="9" operator="lessThan">
      <formula>0.05</formula>
    </cfRule>
  </conditionalFormatting>
  <conditionalFormatting sqref="X25:AC25">
    <cfRule type="cellIs" dxfId="6" priority="8" operator="lessThan">
      <formula>0.05</formula>
    </cfRule>
  </conditionalFormatting>
  <conditionalFormatting sqref="X25:AC25">
    <cfRule type="containsBlanks" dxfId="5" priority="7">
      <formula>LEN(TRIM(X25))=0</formula>
    </cfRule>
  </conditionalFormatting>
  <conditionalFormatting sqref="Z21:Z22 AC21:AC22">
    <cfRule type="cellIs" dxfId="4" priority="5" operator="lessThan">
      <formula>0.05</formula>
    </cfRule>
  </conditionalFormatting>
  <conditionalFormatting sqref="U24:V24 X24:Y24 AA24:AB24">
    <cfRule type="cellIs" dxfId="3" priority="4" operator="lessThan">
      <formula>0.05</formula>
    </cfRule>
  </conditionalFormatting>
  <conditionalFormatting sqref="W24 Z24 AC24">
    <cfRule type="cellIs" dxfId="2" priority="3" operator="lessThan">
      <formula>0.05</formula>
    </cfRule>
  </conditionalFormatting>
  <conditionalFormatting sqref="U10:AL10">
    <cfRule type="cellIs" dxfId="1" priority="2" operator="lessThan">
      <formula>0.05</formula>
    </cfRule>
  </conditionalFormatting>
  <conditionalFormatting sqref="U11:AL11">
    <cfRule type="cellIs" dxfId="0" priority="1" operator="lessThan">
      <formula>0.05</formula>
    </cfRule>
  </conditionalFormatting>
  <pageMargins left="0.25" right="0.25" top="0.75" bottom="0.75" header="0.3" footer="0.3"/>
  <pageSetup paperSize="9" scale="57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e U b N V H c 2 P U C l A A A A 9 g A A A B I A H A B D b 2 5 m a W c v U G F j a 2 F n Z S 5 4 b W w g o h g A K K A U A A A A A A A A A A A A A A A A A A A A A A A A A A A A h Y 8 x D o I w G I W v Q r r T l q K J I T 9 l Y J X E x M Q Y t 6 Z U a I R i a L H c z c E j e Q U x i r o 5 v u 9 9 w 3 v 3 6 w 2 y s W 2 C i + q t 7 k y K I k x R o I z s S m 2 q F A 3 u G K 5 Q x m E j 5 E l U K p h k Y 5 P R l i m q n T s n h H j v s Y 9 x 1 1 e E U R q R f b H e y l q 1 A n 1 k / V 8 O t b F O G K k Q h 9 1 r D G c 4 o k s c L x i m Q G Y I h T Z f g U 1 7 n + 0 P h H x o 3 N A r L m 2 Y H 4 D M E c j 7 A 3 8 A U E s D B B Q A A g A I A H l G z V Q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5 R s 1 U K I p H u A 4 A A A A R A A A A E w A c A E Z v c m 1 1 b G F z L 1 N l Y 3 R p b 2 4 x L m 0 g o h g A K K A U A A A A A A A A A A A A A A A A A A A A A A A A A A A A K 0 5 N L s n M z 1 M I h t C G 1 g B Q S w E C L Q A U A A I A C A B 5 R s 1 U d z Y 9 Q K U A A A D 2 A A A A E g A A A A A A A A A A A A A A A A A A A A A A Q 2 9 u Z m l n L 1 B h Y 2 t h Z 2 U u e G 1 s U E s B A i 0 A F A A C A A g A e U b N V A / K 6 a u k A A A A 6 Q A A A B M A A A A A A A A A A A A A A A A A 8 Q A A A F t D b 2 5 0 Z W 5 0 X 1 R 5 c G V z X S 5 4 b W x Q S w E C L Q A U A A I A C A B 5 R s 1 U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X g q u t q B r P U q N L M M r Q 6 3 i v A A A A A A C A A A A A A A D Z g A A w A A A A B A A A A C 4 p l g G Y / 5 7 g C X k 4 L L a 1 p f j A A A A A A S A A A C g A A A A E A A A A O 6 + o R t I 0 C H b l N Y L J O e f h k 9 Q A A A A B V 7 p V X 4 q p X H 7 e M 6 l + + s 2 J Y N 1 f S n r b 8 5 8 v y w j g + g t S 3 A j U l t i w F j S S H h z U 8 W I U E L J l W 9 r 2 7 E F 4 3 6 8 3 j Y I Y p 3 7 f R M 1 l t m A U Y V h / Q g g p U k r q + w U A A A A W X p P u H / G F 5 5 J A Q 6 A e x W q E j / X I X 0 = < / D a t a M a s h u p > 
</file>

<file path=customXml/itemProps1.xml><?xml version="1.0" encoding="utf-8"?>
<ds:datastoreItem xmlns:ds="http://schemas.openxmlformats.org/officeDocument/2006/customXml" ds:itemID="{63BE6EB8-362E-4D9E-BB4E-74D9F519FE5E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8</vt:i4>
      </vt:variant>
    </vt:vector>
  </HeadingPairs>
  <TitlesOfParts>
    <vt:vector size="8" baseType="lpstr">
      <vt:lpstr>PŘEHLED 2020</vt:lpstr>
      <vt:lpstr>PŘEHLED 2021</vt:lpstr>
      <vt:lpstr>PŘEHLED 2022</vt:lpstr>
      <vt:lpstr>PŘEHLED 2023</vt:lpstr>
      <vt:lpstr>PŘEHLED 2024</vt:lpstr>
      <vt:lpstr>SAZBY DPP,DPČ</vt:lpstr>
      <vt:lpstr>ROZPOČTY</vt:lpstr>
      <vt:lpstr>Změny 07_2022</vt:lpstr>
    </vt:vector>
  </TitlesOfParts>
  <Company>FNOL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Uživatel systému Windows</dc:creator>
  <cp:lastModifiedBy>Uživatel systému Windows</cp:lastModifiedBy>
  <cp:lastPrinted>2022-06-13T07:03:41Z</cp:lastPrinted>
  <dcterms:created xsi:type="dcterms:W3CDTF">2020-01-14T07:32:42Z</dcterms:created>
  <dcterms:modified xsi:type="dcterms:W3CDTF">2022-11-23T07:47:58Z</dcterms:modified>
</cp:coreProperties>
</file>