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35" yWindow="330" windowWidth="14490" windowHeight="10440" activeTab="2"/>
  </bookViews>
  <sheets>
    <sheet name="Krycí list rozpočtu" sheetId="3" r:id="rId1"/>
    <sheet name="Stavební rozpočet - součet" sheetId="2" r:id="rId2"/>
    <sheet name="Stavební rozpočet" sheetId="1" r:id="rId3"/>
  </sheets>
  <calcPr calcId="162913"/>
</workbook>
</file>

<file path=xl/calcChain.xml><?xml version="1.0" encoding="utf-8"?>
<calcChain xmlns="http://schemas.openxmlformats.org/spreadsheetml/2006/main">
  <c r="C2" i="3"/>
  <c r="F2"/>
  <c r="C4"/>
  <c r="F4"/>
  <c r="C6"/>
  <c r="C8"/>
  <c r="F8"/>
  <c r="C10"/>
  <c r="F10"/>
  <c r="I10"/>
  <c r="F22"/>
  <c r="I22"/>
  <c r="L13" i="1"/>
  <c r="J14"/>
  <c r="AB14" s="1"/>
  <c r="L14"/>
  <c r="P14"/>
  <c r="T14"/>
  <c r="U14"/>
  <c r="V14"/>
  <c r="W14"/>
  <c r="X14"/>
  <c r="Z14"/>
  <c r="AI13"/>
  <c r="AA14"/>
  <c r="AJ13" s="1"/>
  <c r="AE14"/>
  <c r="AF14"/>
  <c r="AN14" s="1"/>
  <c r="AT14"/>
  <c r="AV14"/>
  <c r="J17"/>
  <c r="L17"/>
  <c r="P17"/>
  <c r="T17"/>
  <c r="U17"/>
  <c r="V17"/>
  <c r="W17"/>
  <c r="X17"/>
  <c r="Z17"/>
  <c r="AA17"/>
  <c r="AJ16" s="1"/>
  <c r="AE17"/>
  <c r="H17" s="1"/>
  <c r="R17" s="1"/>
  <c r="AF17"/>
  <c r="AN17" s="1"/>
  <c r="AT17"/>
  <c r="AV17"/>
  <c r="J19"/>
  <c r="L19"/>
  <c r="P19"/>
  <c r="T19"/>
  <c r="U19"/>
  <c r="V19"/>
  <c r="W19"/>
  <c r="X19"/>
  <c r="Z19"/>
  <c r="AA19"/>
  <c r="AE19"/>
  <c r="AF19"/>
  <c r="AN19"/>
  <c r="AT19"/>
  <c r="J22"/>
  <c r="L22"/>
  <c r="P22"/>
  <c r="T22"/>
  <c r="U22"/>
  <c r="V22"/>
  <c r="W22"/>
  <c r="X22"/>
  <c r="Z22"/>
  <c r="AA22"/>
  <c r="AE22"/>
  <c r="H22" s="1"/>
  <c r="R22" s="1"/>
  <c r="AF22"/>
  <c r="AN22"/>
  <c r="AT22"/>
  <c r="AV22"/>
  <c r="J23"/>
  <c r="L23"/>
  <c r="P23"/>
  <c r="T23"/>
  <c r="U23"/>
  <c r="V23"/>
  <c r="W23"/>
  <c r="X23"/>
  <c r="Z23"/>
  <c r="AA23"/>
  <c r="AB23"/>
  <c r="AE23"/>
  <c r="AM23" s="1"/>
  <c r="AS23" s="1"/>
  <c r="AF23"/>
  <c r="AN23" s="1"/>
  <c r="AT23"/>
  <c r="J24"/>
  <c r="L24"/>
  <c r="P24"/>
  <c r="T24"/>
  <c r="U24"/>
  <c r="V24"/>
  <c r="W24"/>
  <c r="X24"/>
  <c r="Z24"/>
  <c r="AA24"/>
  <c r="AB24"/>
  <c r="AE24"/>
  <c r="H24" s="1"/>
  <c r="R24" s="1"/>
  <c r="AF24"/>
  <c r="AM24"/>
  <c r="AN24"/>
  <c r="AT24"/>
  <c r="AV24"/>
  <c r="J26"/>
  <c r="AB26" s="1"/>
  <c r="L26"/>
  <c r="AV26" s="1"/>
  <c r="P26"/>
  <c r="T26"/>
  <c r="U26"/>
  <c r="V26"/>
  <c r="W26"/>
  <c r="X26"/>
  <c r="Z26"/>
  <c r="AA26"/>
  <c r="AE26"/>
  <c r="AM26" s="1"/>
  <c r="AS26" s="1"/>
  <c r="AF26"/>
  <c r="AN26" s="1"/>
  <c r="AT26"/>
  <c r="J27"/>
  <c r="L27"/>
  <c r="P27"/>
  <c r="T27"/>
  <c r="U27"/>
  <c r="V27"/>
  <c r="W27"/>
  <c r="X27"/>
  <c r="Z27"/>
  <c r="AA27"/>
  <c r="AB27"/>
  <c r="AE27"/>
  <c r="H27" s="1"/>
  <c r="R27" s="1"/>
  <c r="AF27"/>
  <c r="AN27" s="1"/>
  <c r="AT27"/>
  <c r="AV27"/>
  <c r="J29"/>
  <c r="AB29" s="1"/>
  <c r="L29"/>
  <c r="AV29" s="1"/>
  <c r="P29"/>
  <c r="T29"/>
  <c r="U29"/>
  <c r="V29"/>
  <c r="W29"/>
  <c r="X29"/>
  <c r="Z29"/>
  <c r="AA29"/>
  <c r="AE29"/>
  <c r="AM29" s="1"/>
  <c r="AF29"/>
  <c r="AN29" s="1"/>
  <c r="AT29"/>
  <c r="J31"/>
  <c r="L31"/>
  <c r="R31"/>
  <c r="S31"/>
  <c r="T31"/>
  <c r="U31"/>
  <c r="V31"/>
  <c r="W31"/>
  <c r="X31"/>
  <c r="Z31"/>
  <c r="AI30" s="1"/>
  <c r="AA31"/>
  <c r="AJ30" s="1"/>
  <c r="AE31"/>
  <c r="AF31"/>
  <c r="AN31"/>
  <c r="AT31"/>
  <c r="AI34"/>
  <c r="J35"/>
  <c r="L35"/>
  <c r="P35"/>
  <c r="T35"/>
  <c r="U35"/>
  <c r="V35"/>
  <c r="W35"/>
  <c r="X35"/>
  <c r="Z35"/>
  <c r="AA35"/>
  <c r="AB35"/>
  <c r="AE35"/>
  <c r="H35" s="1"/>
  <c r="R35" s="1"/>
  <c r="AF35"/>
  <c r="AN35" s="1"/>
  <c r="AM35"/>
  <c r="AT35"/>
  <c r="AV35"/>
  <c r="J36"/>
  <c r="L36"/>
  <c r="P36"/>
  <c r="T36"/>
  <c r="U36"/>
  <c r="V36"/>
  <c r="W36"/>
  <c r="X36"/>
  <c r="Z36"/>
  <c r="AA36"/>
  <c r="AB36"/>
  <c r="AE36"/>
  <c r="AM36" s="1"/>
  <c r="AF36"/>
  <c r="AN36" s="1"/>
  <c r="AT36"/>
  <c r="J38"/>
  <c r="L38"/>
  <c r="P38"/>
  <c r="R38"/>
  <c r="S38"/>
  <c r="V38"/>
  <c r="W38"/>
  <c r="X38"/>
  <c r="Z38"/>
  <c r="AA38"/>
  <c r="AE38"/>
  <c r="AF38"/>
  <c r="AN38"/>
  <c r="AT38"/>
  <c r="J40"/>
  <c r="L40"/>
  <c r="P40"/>
  <c r="R40"/>
  <c r="S40"/>
  <c r="V40"/>
  <c r="W40"/>
  <c r="X40"/>
  <c r="Z40"/>
  <c r="AI37" s="1"/>
  <c r="AA40"/>
  <c r="AJ37" s="1"/>
  <c r="AB40"/>
  <c r="AE40"/>
  <c r="H40" s="1"/>
  <c r="AF40"/>
  <c r="AN40" s="1"/>
  <c r="AM40"/>
  <c r="AS40" s="1"/>
  <c r="AT40"/>
  <c r="AV40"/>
  <c r="L42"/>
  <c r="G19" i="2" s="1"/>
  <c r="J43" i="1"/>
  <c r="L43"/>
  <c r="AV43" s="1"/>
  <c r="P43"/>
  <c r="T43"/>
  <c r="U43"/>
  <c r="V43"/>
  <c r="W43"/>
  <c r="X43"/>
  <c r="Z43"/>
  <c r="AA43"/>
  <c r="AB43"/>
  <c r="AE43"/>
  <c r="AM43" s="1"/>
  <c r="AF43"/>
  <c r="AN43" s="1"/>
  <c r="AS43"/>
  <c r="AT43"/>
  <c r="J46"/>
  <c r="L46"/>
  <c r="P46"/>
  <c r="T46"/>
  <c r="U46"/>
  <c r="V46"/>
  <c r="W46"/>
  <c r="X46"/>
  <c r="Z46"/>
  <c r="AA46"/>
  <c r="AB46"/>
  <c r="AE46"/>
  <c r="H46" s="1"/>
  <c r="R46" s="1"/>
  <c r="AF46"/>
  <c r="AN46" s="1"/>
  <c r="AM46"/>
  <c r="AT46"/>
  <c r="AV46"/>
  <c r="J48"/>
  <c r="L48"/>
  <c r="P48"/>
  <c r="R48"/>
  <c r="S48"/>
  <c r="T48"/>
  <c r="U48"/>
  <c r="V48"/>
  <c r="W48"/>
  <c r="X48"/>
  <c r="Z48"/>
  <c r="AA48"/>
  <c r="AB48"/>
  <c r="AE48"/>
  <c r="H48" s="1"/>
  <c r="AF48"/>
  <c r="AN48" s="1"/>
  <c r="AS48" s="1"/>
  <c r="AM48"/>
  <c r="AT48"/>
  <c r="AV48"/>
  <c r="J50"/>
  <c r="P50" s="1"/>
  <c r="L50"/>
  <c r="R50"/>
  <c r="S50"/>
  <c r="T50"/>
  <c r="U50"/>
  <c r="V50"/>
  <c r="W50"/>
  <c r="X50"/>
  <c r="Z50"/>
  <c r="AA50"/>
  <c r="AE50"/>
  <c r="H50" s="1"/>
  <c r="AF50"/>
  <c r="AN50" s="1"/>
  <c r="AM50"/>
  <c r="AT50"/>
  <c r="AV50"/>
  <c r="J52"/>
  <c r="L52"/>
  <c r="P52"/>
  <c r="R52"/>
  <c r="S52"/>
  <c r="T52"/>
  <c r="U52"/>
  <c r="V52"/>
  <c r="W52"/>
  <c r="X52"/>
  <c r="Z52"/>
  <c r="AA52"/>
  <c r="AB52"/>
  <c r="AE52"/>
  <c r="AF52"/>
  <c r="AN52" s="1"/>
  <c r="AT52"/>
  <c r="AV52"/>
  <c r="I53"/>
  <c r="J53"/>
  <c r="P53" s="1"/>
  <c r="L53"/>
  <c r="R53"/>
  <c r="S53"/>
  <c r="T53"/>
  <c r="U53"/>
  <c r="V53"/>
  <c r="W53"/>
  <c r="X53"/>
  <c r="Z53"/>
  <c r="AA53"/>
  <c r="AB53"/>
  <c r="AE53"/>
  <c r="H53" s="1"/>
  <c r="AF53"/>
  <c r="AN53"/>
  <c r="AT53"/>
  <c r="AV53"/>
  <c r="J54"/>
  <c r="L54"/>
  <c r="P54"/>
  <c r="R54"/>
  <c r="S54"/>
  <c r="T54"/>
  <c r="U54"/>
  <c r="V54"/>
  <c r="W54"/>
  <c r="X54"/>
  <c r="Z54"/>
  <c r="AA54"/>
  <c r="AB54"/>
  <c r="AE54"/>
  <c r="AM54" s="1"/>
  <c r="AS54" s="1"/>
  <c r="AF54"/>
  <c r="AN54" s="1"/>
  <c r="AT54"/>
  <c r="AV54"/>
  <c r="J56"/>
  <c r="L56"/>
  <c r="AV56" s="1"/>
  <c r="R56"/>
  <c r="S56"/>
  <c r="T56"/>
  <c r="U56"/>
  <c r="V56"/>
  <c r="W56"/>
  <c r="X56"/>
  <c r="Z56"/>
  <c r="AA56"/>
  <c r="AE56"/>
  <c r="H56" s="1"/>
  <c r="AF56"/>
  <c r="AM56"/>
  <c r="AS56" s="1"/>
  <c r="AN56"/>
  <c r="AT56"/>
  <c r="L58"/>
  <c r="J59"/>
  <c r="I59" s="1"/>
  <c r="L59"/>
  <c r="P59"/>
  <c r="T59"/>
  <c r="U59"/>
  <c r="V59"/>
  <c r="W59"/>
  <c r="X59"/>
  <c r="Z59"/>
  <c r="AI58" s="1"/>
  <c r="AA59"/>
  <c r="AJ58" s="1"/>
  <c r="AE59"/>
  <c r="H59" s="1"/>
  <c r="AF59"/>
  <c r="AN59"/>
  <c r="AT59"/>
  <c r="AV59"/>
  <c r="J62"/>
  <c r="AB62" s="1"/>
  <c r="L62"/>
  <c r="P62"/>
  <c r="R62"/>
  <c r="S62"/>
  <c r="V62"/>
  <c r="W62"/>
  <c r="X62"/>
  <c r="Z62"/>
  <c r="AA62"/>
  <c r="AE62"/>
  <c r="AF62"/>
  <c r="AN62" s="1"/>
  <c r="AT62"/>
  <c r="J63"/>
  <c r="I63" s="1"/>
  <c r="U63" s="1"/>
  <c r="L63"/>
  <c r="P63"/>
  <c r="R63"/>
  <c r="S63"/>
  <c r="V63"/>
  <c r="W63"/>
  <c r="X63"/>
  <c r="Z63"/>
  <c r="AA63"/>
  <c r="AE63"/>
  <c r="H63" s="1"/>
  <c r="T63" s="1"/>
  <c r="AF63"/>
  <c r="AN63"/>
  <c r="AT63"/>
  <c r="AV63"/>
  <c r="J64"/>
  <c r="AB64" s="1"/>
  <c r="L64"/>
  <c r="P64"/>
  <c r="R64"/>
  <c r="S64"/>
  <c r="V64"/>
  <c r="W64"/>
  <c r="X64"/>
  <c r="Z64"/>
  <c r="AA64"/>
  <c r="AE64"/>
  <c r="AM64" s="1"/>
  <c r="AF64"/>
  <c r="AN64" s="1"/>
  <c r="AS64"/>
  <c r="AT64"/>
  <c r="AV64"/>
  <c r="J65"/>
  <c r="L65"/>
  <c r="P65"/>
  <c r="R65"/>
  <c r="S65"/>
  <c r="V65"/>
  <c r="W65"/>
  <c r="X65"/>
  <c r="Z65"/>
  <c r="AA65"/>
  <c r="AE65"/>
  <c r="H65" s="1"/>
  <c r="T65" s="1"/>
  <c r="AF65"/>
  <c r="AN65"/>
  <c r="AT65"/>
  <c r="AV65"/>
  <c r="J66"/>
  <c r="L66"/>
  <c r="AV66" s="1"/>
  <c r="P66"/>
  <c r="R66"/>
  <c r="S66"/>
  <c r="V66"/>
  <c r="W66"/>
  <c r="X66"/>
  <c r="Z66"/>
  <c r="AA66"/>
  <c r="AE66"/>
  <c r="H66" s="1"/>
  <c r="T66" s="1"/>
  <c r="AF66"/>
  <c r="AN66" s="1"/>
  <c r="AT66"/>
  <c r="J67"/>
  <c r="L67"/>
  <c r="AV67" s="1"/>
  <c r="P67"/>
  <c r="R67"/>
  <c r="S67"/>
  <c r="V67"/>
  <c r="W67"/>
  <c r="X67"/>
  <c r="Z67"/>
  <c r="AA67"/>
  <c r="AE67"/>
  <c r="AF67"/>
  <c r="AN67" s="1"/>
  <c r="AT67"/>
  <c r="J68"/>
  <c r="AB68" s="1"/>
  <c r="L68"/>
  <c r="P68"/>
  <c r="R68"/>
  <c r="S68"/>
  <c r="V68"/>
  <c r="W68"/>
  <c r="X68"/>
  <c r="Z68"/>
  <c r="AA68"/>
  <c r="AE68"/>
  <c r="AM68" s="1"/>
  <c r="AF68"/>
  <c r="AN68" s="1"/>
  <c r="AT68"/>
  <c r="AV68"/>
  <c r="J69"/>
  <c r="AB69" s="1"/>
  <c r="L69"/>
  <c r="P69"/>
  <c r="R69"/>
  <c r="S69"/>
  <c r="V69"/>
  <c r="W69"/>
  <c r="X69"/>
  <c r="Z69"/>
  <c r="AA69"/>
  <c r="AE69"/>
  <c r="AF69"/>
  <c r="AN69" s="1"/>
  <c r="AT69"/>
  <c r="AV69"/>
  <c r="J70"/>
  <c r="L70"/>
  <c r="P70"/>
  <c r="R70"/>
  <c r="S70"/>
  <c r="V70"/>
  <c r="W70"/>
  <c r="X70"/>
  <c r="Z70"/>
  <c r="AA70"/>
  <c r="AE70"/>
  <c r="H70" s="1"/>
  <c r="T70" s="1"/>
  <c r="AF70"/>
  <c r="AN70" s="1"/>
  <c r="AT70"/>
  <c r="AV70"/>
  <c r="J71"/>
  <c r="I71" s="1"/>
  <c r="U71" s="1"/>
  <c r="L71"/>
  <c r="P71"/>
  <c r="R71"/>
  <c r="S71"/>
  <c r="V71"/>
  <c r="W71"/>
  <c r="X71"/>
  <c r="Z71"/>
  <c r="AA71"/>
  <c r="AB71"/>
  <c r="AE71"/>
  <c r="H71" s="1"/>
  <c r="T71" s="1"/>
  <c r="AF71"/>
  <c r="AM71"/>
  <c r="AN71"/>
  <c r="AT71"/>
  <c r="AV71"/>
  <c r="J72"/>
  <c r="L72"/>
  <c r="AV72" s="1"/>
  <c r="P72"/>
  <c r="R72"/>
  <c r="S72"/>
  <c r="V72"/>
  <c r="W72"/>
  <c r="X72"/>
  <c r="Z72"/>
  <c r="AA72"/>
  <c r="AB72"/>
  <c r="AE72"/>
  <c r="AF72"/>
  <c r="AN72" s="1"/>
  <c r="AT72"/>
  <c r="J73"/>
  <c r="L73"/>
  <c r="AV73" s="1"/>
  <c r="P73"/>
  <c r="R73"/>
  <c r="S73"/>
  <c r="V73"/>
  <c r="W73"/>
  <c r="X73"/>
  <c r="Z73"/>
  <c r="AA73"/>
  <c r="AE73"/>
  <c r="AF73"/>
  <c r="AN73" s="1"/>
  <c r="AT73"/>
  <c r="L74"/>
  <c r="J75"/>
  <c r="L75"/>
  <c r="AV75" s="1"/>
  <c r="P75"/>
  <c r="R75"/>
  <c r="S75"/>
  <c r="V75"/>
  <c r="W75"/>
  <c r="X75"/>
  <c r="Z75"/>
  <c r="AA75"/>
  <c r="AE75"/>
  <c r="AM75" s="1"/>
  <c r="AF75"/>
  <c r="AN75"/>
  <c r="AS75"/>
  <c r="AT75"/>
  <c r="J86"/>
  <c r="L86"/>
  <c r="P86"/>
  <c r="R86"/>
  <c r="S86"/>
  <c r="V86"/>
  <c r="W86"/>
  <c r="X86"/>
  <c r="Z86"/>
  <c r="AA86"/>
  <c r="AJ74" s="1"/>
  <c r="AB86"/>
  <c r="AE86"/>
  <c r="H86" s="1"/>
  <c r="T86" s="1"/>
  <c r="AF86"/>
  <c r="AM86"/>
  <c r="AN86"/>
  <c r="AT86"/>
  <c r="AV86"/>
  <c r="L88"/>
  <c r="H89"/>
  <c r="I89"/>
  <c r="J89"/>
  <c r="L89"/>
  <c r="P89"/>
  <c r="R89"/>
  <c r="T89"/>
  <c r="U89"/>
  <c r="V89"/>
  <c r="W89"/>
  <c r="X89"/>
  <c r="Z89"/>
  <c r="AA89"/>
  <c r="AB89"/>
  <c r="AE89"/>
  <c r="AF89"/>
  <c r="AN89" s="1"/>
  <c r="AM89"/>
  <c r="AS89"/>
  <c r="AT89"/>
  <c r="AV89"/>
  <c r="J91"/>
  <c r="L91"/>
  <c r="P91"/>
  <c r="R91"/>
  <c r="T91"/>
  <c r="U91"/>
  <c r="V91"/>
  <c r="W91"/>
  <c r="X91"/>
  <c r="Z91"/>
  <c r="AA91"/>
  <c r="AB91"/>
  <c r="AE91"/>
  <c r="H91" s="1"/>
  <c r="AF91"/>
  <c r="AN91" s="1"/>
  <c r="AM91"/>
  <c r="AT91"/>
  <c r="AV91"/>
  <c r="J93"/>
  <c r="L93"/>
  <c r="AV93" s="1"/>
  <c r="P93"/>
  <c r="T93"/>
  <c r="U93"/>
  <c r="V93"/>
  <c r="W93"/>
  <c r="X93"/>
  <c r="Z93"/>
  <c r="AA93"/>
  <c r="AB93"/>
  <c r="AE93"/>
  <c r="H93" s="1"/>
  <c r="AF93"/>
  <c r="AN93" s="1"/>
  <c r="AT93"/>
  <c r="J95"/>
  <c r="L95"/>
  <c r="P95"/>
  <c r="R95"/>
  <c r="T95"/>
  <c r="U95"/>
  <c r="V95"/>
  <c r="W95"/>
  <c r="X95"/>
  <c r="Z95"/>
  <c r="AA95"/>
  <c r="AB95"/>
  <c r="AE95"/>
  <c r="H95" s="1"/>
  <c r="I95" s="1"/>
  <c r="S95" s="1"/>
  <c r="AF95"/>
  <c r="AN95" s="1"/>
  <c r="AM95"/>
  <c r="AT95"/>
  <c r="AV95"/>
  <c r="J102"/>
  <c r="AB102" s="1"/>
  <c r="L102"/>
  <c r="P102"/>
  <c r="T102"/>
  <c r="U102"/>
  <c r="V102"/>
  <c r="W102"/>
  <c r="X102"/>
  <c r="Z102"/>
  <c r="AA102"/>
  <c r="AE102"/>
  <c r="AF102"/>
  <c r="AN102" s="1"/>
  <c r="AT102"/>
  <c r="AV102"/>
  <c r="J104"/>
  <c r="L104"/>
  <c r="AV104" s="1"/>
  <c r="R104"/>
  <c r="S104"/>
  <c r="T104"/>
  <c r="U104"/>
  <c r="V104"/>
  <c r="W104"/>
  <c r="X104"/>
  <c r="Z104"/>
  <c r="AA104"/>
  <c r="AE104"/>
  <c r="AF104"/>
  <c r="AN104" s="1"/>
  <c r="AT104"/>
  <c r="J106"/>
  <c r="L106"/>
  <c r="R106"/>
  <c r="S106"/>
  <c r="T106"/>
  <c r="U106"/>
  <c r="V106"/>
  <c r="W106"/>
  <c r="X106"/>
  <c r="Z106"/>
  <c r="AA106"/>
  <c r="AE106"/>
  <c r="AM106" s="1"/>
  <c r="AF106"/>
  <c r="AN106" s="1"/>
  <c r="AT106"/>
  <c r="AV106"/>
  <c r="J108"/>
  <c r="L108"/>
  <c r="AV108" s="1"/>
  <c r="P108"/>
  <c r="R108"/>
  <c r="S108"/>
  <c r="T108"/>
  <c r="U108"/>
  <c r="V108"/>
  <c r="W108"/>
  <c r="X108"/>
  <c r="Z108"/>
  <c r="AA108"/>
  <c r="AB108"/>
  <c r="AE108"/>
  <c r="AF108"/>
  <c r="AN108" s="1"/>
  <c r="AT108"/>
  <c r="J109"/>
  <c r="L109"/>
  <c r="R109"/>
  <c r="S109"/>
  <c r="T109"/>
  <c r="U109"/>
  <c r="V109"/>
  <c r="W109"/>
  <c r="X109"/>
  <c r="Z109"/>
  <c r="AA109"/>
  <c r="AE109"/>
  <c r="H109" s="1"/>
  <c r="AF109"/>
  <c r="AN109" s="1"/>
  <c r="AM109"/>
  <c r="AT109"/>
  <c r="AV109"/>
  <c r="J111"/>
  <c r="L111"/>
  <c r="AV111" s="1"/>
  <c r="R111"/>
  <c r="S111"/>
  <c r="T111"/>
  <c r="U111"/>
  <c r="V111"/>
  <c r="W111"/>
  <c r="X111"/>
  <c r="Z111"/>
  <c r="AA111"/>
  <c r="AB111"/>
  <c r="AE111"/>
  <c r="AF111"/>
  <c r="AN111" s="1"/>
  <c r="AT111"/>
  <c r="J112"/>
  <c r="L112"/>
  <c r="P112"/>
  <c r="R112"/>
  <c r="S112"/>
  <c r="T112"/>
  <c r="U112"/>
  <c r="V112"/>
  <c r="W112"/>
  <c r="X112"/>
  <c r="Z112"/>
  <c r="AA112"/>
  <c r="AB112"/>
  <c r="AE112"/>
  <c r="H112" s="1"/>
  <c r="AF112"/>
  <c r="AN112" s="1"/>
  <c r="AM112"/>
  <c r="AT112"/>
  <c r="AV112"/>
  <c r="J113"/>
  <c r="L113"/>
  <c r="AV113" s="1"/>
  <c r="R113"/>
  <c r="S113"/>
  <c r="T113"/>
  <c r="U113"/>
  <c r="V113"/>
  <c r="W113"/>
  <c r="X113"/>
  <c r="Z113"/>
  <c r="AA113"/>
  <c r="AE113"/>
  <c r="AF113"/>
  <c r="AN113" s="1"/>
  <c r="AT113"/>
  <c r="J114"/>
  <c r="L114"/>
  <c r="P114"/>
  <c r="R114"/>
  <c r="S114"/>
  <c r="T114"/>
  <c r="U114"/>
  <c r="V114"/>
  <c r="W114"/>
  <c r="X114"/>
  <c r="Z114"/>
  <c r="AA114"/>
  <c r="AB114"/>
  <c r="AE114"/>
  <c r="H114" s="1"/>
  <c r="AF114"/>
  <c r="AN114" s="1"/>
  <c r="AM114"/>
  <c r="AT114"/>
  <c r="AV114"/>
  <c r="J116"/>
  <c r="L116"/>
  <c r="AV116" s="1"/>
  <c r="P116"/>
  <c r="R116"/>
  <c r="S116"/>
  <c r="T116"/>
  <c r="U116"/>
  <c r="V116"/>
  <c r="W116"/>
  <c r="X116"/>
  <c r="Z116"/>
  <c r="AA116"/>
  <c r="AB116"/>
  <c r="AE116"/>
  <c r="AF116"/>
  <c r="AN116" s="1"/>
  <c r="AT116"/>
  <c r="AJ118"/>
  <c r="J119"/>
  <c r="L119"/>
  <c r="P119"/>
  <c r="T119"/>
  <c r="U119"/>
  <c r="V119"/>
  <c r="W119"/>
  <c r="X119"/>
  <c r="Z119"/>
  <c r="AA119"/>
  <c r="AB119"/>
  <c r="AE119"/>
  <c r="AF119"/>
  <c r="AN119"/>
  <c r="AT119"/>
  <c r="J121"/>
  <c r="AB121" s="1"/>
  <c r="L121"/>
  <c r="P121"/>
  <c r="T121"/>
  <c r="U121"/>
  <c r="V121"/>
  <c r="W121"/>
  <c r="X121"/>
  <c r="Z121"/>
  <c r="AI118" s="1"/>
  <c r="AA121"/>
  <c r="AE121"/>
  <c r="AF121"/>
  <c r="AN121" s="1"/>
  <c r="AT121"/>
  <c r="AV121"/>
  <c r="L123"/>
  <c r="G29" i="2" s="1"/>
  <c r="J124" i="1"/>
  <c r="L124"/>
  <c r="AV124" s="1"/>
  <c r="P124"/>
  <c r="R124"/>
  <c r="S124"/>
  <c r="V124"/>
  <c r="W124"/>
  <c r="X124"/>
  <c r="Z124"/>
  <c r="AI123" s="1"/>
  <c r="AA124"/>
  <c r="AJ123" s="1"/>
  <c r="AE124"/>
  <c r="AM124" s="1"/>
  <c r="AS124" s="1"/>
  <c r="AF124"/>
  <c r="AN124"/>
  <c r="AT124"/>
  <c r="J128"/>
  <c r="L128"/>
  <c r="L127" s="1"/>
  <c r="G30" i="2" s="1"/>
  <c r="P128" i="1"/>
  <c r="R128"/>
  <c r="S128"/>
  <c r="T128"/>
  <c r="V128"/>
  <c r="W128"/>
  <c r="X128"/>
  <c r="Z128"/>
  <c r="AA128"/>
  <c r="AB128"/>
  <c r="AE128"/>
  <c r="H128" s="1"/>
  <c r="AF128"/>
  <c r="AN128" s="1"/>
  <c r="AM128"/>
  <c r="AT128"/>
  <c r="AV128"/>
  <c r="J129"/>
  <c r="AB129" s="1"/>
  <c r="L129"/>
  <c r="P129"/>
  <c r="R129"/>
  <c r="S129"/>
  <c r="V129"/>
  <c r="W129"/>
  <c r="X129"/>
  <c r="Z129"/>
  <c r="AA129"/>
  <c r="AE129"/>
  <c r="AF129"/>
  <c r="AN129" s="1"/>
  <c r="AT129"/>
  <c r="AV129"/>
  <c r="J130"/>
  <c r="L130"/>
  <c r="P130"/>
  <c r="R130"/>
  <c r="S130"/>
  <c r="V130"/>
  <c r="W130"/>
  <c r="X130"/>
  <c r="Z130"/>
  <c r="AA130"/>
  <c r="AE130"/>
  <c r="AF130"/>
  <c r="AN130" s="1"/>
  <c r="AT130"/>
  <c r="AV130"/>
  <c r="J131"/>
  <c r="AB131" s="1"/>
  <c r="L131"/>
  <c r="AV131" s="1"/>
  <c r="P131"/>
  <c r="R131"/>
  <c r="S131"/>
  <c r="V131"/>
  <c r="W131"/>
  <c r="X131"/>
  <c r="Z131"/>
  <c r="AA131"/>
  <c r="AE131"/>
  <c r="AF131"/>
  <c r="AN131" s="1"/>
  <c r="AT131"/>
  <c r="J132"/>
  <c r="AB132" s="1"/>
  <c r="L132"/>
  <c r="AV132" s="1"/>
  <c r="P132"/>
  <c r="R132"/>
  <c r="S132"/>
  <c r="V132"/>
  <c r="W132"/>
  <c r="X132"/>
  <c r="Z132"/>
  <c r="AA132"/>
  <c r="AE132"/>
  <c r="AF132"/>
  <c r="AN132" s="1"/>
  <c r="AT132"/>
  <c r="J133"/>
  <c r="L133"/>
  <c r="P133"/>
  <c r="R133"/>
  <c r="S133"/>
  <c r="V133"/>
  <c r="W133"/>
  <c r="X133"/>
  <c r="Z133"/>
  <c r="AA133"/>
  <c r="AB133"/>
  <c r="AE133"/>
  <c r="H133" s="1"/>
  <c r="T133" s="1"/>
  <c r="AF133"/>
  <c r="AN133" s="1"/>
  <c r="AM133"/>
  <c r="AS133"/>
  <c r="AT133"/>
  <c r="AV133"/>
  <c r="J134"/>
  <c r="L134"/>
  <c r="P134"/>
  <c r="R134"/>
  <c r="S134"/>
  <c r="V134"/>
  <c r="W134"/>
  <c r="X134"/>
  <c r="Z134"/>
  <c r="AA134"/>
  <c r="AE134"/>
  <c r="H134" s="1"/>
  <c r="T134" s="1"/>
  <c r="AF134"/>
  <c r="AN134"/>
  <c r="AT134"/>
  <c r="AV134"/>
  <c r="J135"/>
  <c r="L135"/>
  <c r="AV135" s="1"/>
  <c r="P135"/>
  <c r="R135"/>
  <c r="S135"/>
  <c r="V135"/>
  <c r="W135"/>
  <c r="X135"/>
  <c r="Z135"/>
  <c r="AA135"/>
  <c r="AB135"/>
  <c r="AE135"/>
  <c r="AF135"/>
  <c r="AN135" s="1"/>
  <c r="AT135"/>
  <c r="J137"/>
  <c r="L137"/>
  <c r="AV137" s="1"/>
  <c r="P137"/>
  <c r="R137"/>
  <c r="S137"/>
  <c r="V137"/>
  <c r="W137"/>
  <c r="X137"/>
  <c r="Z137"/>
  <c r="AA137"/>
  <c r="AE137"/>
  <c r="AM137" s="1"/>
  <c r="AF137"/>
  <c r="AN137"/>
  <c r="AS137" s="1"/>
  <c r="AT137"/>
  <c r="J139"/>
  <c r="L139"/>
  <c r="P139"/>
  <c r="R139"/>
  <c r="S139"/>
  <c r="V139"/>
  <c r="W139"/>
  <c r="X139"/>
  <c r="Z139"/>
  <c r="AA139"/>
  <c r="AB139"/>
  <c r="AE139"/>
  <c r="H139" s="1"/>
  <c r="T139" s="1"/>
  <c r="AF139"/>
  <c r="AM139"/>
  <c r="AN139"/>
  <c r="AT139"/>
  <c r="AV139"/>
  <c r="J141"/>
  <c r="L141"/>
  <c r="AV141" s="1"/>
  <c r="P141"/>
  <c r="R141"/>
  <c r="S141"/>
  <c r="V141"/>
  <c r="W141"/>
  <c r="X141"/>
  <c r="Z141"/>
  <c r="AA141"/>
  <c r="AB141"/>
  <c r="AE141"/>
  <c r="AF141"/>
  <c r="AN141"/>
  <c r="AT141"/>
  <c r="J144"/>
  <c r="L144"/>
  <c r="R144"/>
  <c r="S144"/>
  <c r="T144"/>
  <c r="U144"/>
  <c r="V144"/>
  <c r="W144"/>
  <c r="X144"/>
  <c r="Z144"/>
  <c r="AA144"/>
  <c r="AE144"/>
  <c r="H144" s="1"/>
  <c r="AF144"/>
  <c r="AN144"/>
  <c r="AT144"/>
  <c r="AV144"/>
  <c r="J146"/>
  <c r="L146"/>
  <c r="P146"/>
  <c r="R146"/>
  <c r="S146"/>
  <c r="V146"/>
  <c r="W146"/>
  <c r="X146"/>
  <c r="Z146"/>
  <c r="AA146"/>
  <c r="AB146"/>
  <c r="AE146"/>
  <c r="H146" s="1"/>
  <c r="AF146"/>
  <c r="AN146" s="1"/>
  <c r="AT146"/>
  <c r="AV146"/>
  <c r="I148"/>
  <c r="U148" s="1"/>
  <c r="J148"/>
  <c r="L148"/>
  <c r="P148"/>
  <c r="R148"/>
  <c r="S148"/>
  <c r="V148"/>
  <c r="W148"/>
  <c r="X148"/>
  <c r="Z148"/>
  <c r="AA148"/>
  <c r="AB148"/>
  <c r="AE148"/>
  <c r="H148" s="1"/>
  <c r="T148" s="1"/>
  <c r="AF148"/>
  <c r="AM148"/>
  <c r="AN148"/>
  <c r="AT148"/>
  <c r="AV148"/>
  <c r="J150"/>
  <c r="L150"/>
  <c r="P150"/>
  <c r="R150"/>
  <c r="S150"/>
  <c r="V150"/>
  <c r="W150"/>
  <c r="X150"/>
  <c r="Z150"/>
  <c r="AA150"/>
  <c r="AB150"/>
  <c r="AE150"/>
  <c r="AF150"/>
  <c r="AN150" s="1"/>
  <c r="AT150"/>
  <c r="J153"/>
  <c r="P153" s="1"/>
  <c r="L153"/>
  <c r="R153"/>
  <c r="S153"/>
  <c r="T153"/>
  <c r="U153"/>
  <c r="V153"/>
  <c r="W153"/>
  <c r="X153"/>
  <c r="Z153"/>
  <c r="AA153"/>
  <c r="AE153"/>
  <c r="H153" s="1"/>
  <c r="AF153"/>
  <c r="AN153"/>
  <c r="AT153"/>
  <c r="AV153"/>
  <c r="L154"/>
  <c r="G33" i="2" s="1"/>
  <c r="J155" i="1"/>
  <c r="L155"/>
  <c r="P155"/>
  <c r="R155"/>
  <c r="S155"/>
  <c r="V155"/>
  <c r="W155"/>
  <c r="X155"/>
  <c r="Z155"/>
  <c r="AA155"/>
  <c r="AE155"/>
  <c r="H155" s="1"/>
  <c r="T155" s="1"/>
  <c r="AF155"/>
  <c r="AN155" s="1"/>
  <c r="AM155"/>
  <c r="AT155"/>
  <c r="AV155"/>
  <c r="J160"/>
  <c r="AB160" s="1"/>
  <c r="L160"/>
  <c r="AV160" s="1"/>
  <c r="P160"/>
  <c r="R160"/>
  <c r="S160"/>
  <c r="V160"/>
  <c r="W160"/>
  <c r="X160"/>
  <c r="Z160"/>
  <c r="AA160"/>
  <c r="AE160"/>
  <c r="AF160"/>
  <c r="AN160" s="1"/>
  <c r="AT160"/>
  <c r="J162"/>
  <c r="L162"/>
  <c r="P162"/>
  <c r="R162"/>
  <c r="T162"/>
  <c r="U162"/>
  <c r="V162"/>
  <c r="W162"/>
  <c r="X162"/>
  <c r="Z162"/>
  <c r="AA162"/>
  <c r="AB162"/>
  <c r="AE162"/>
  <c r="H162" s="1"/>
  <c r="AF162"/>
  <c r="AM162"/>
  <c r="AN162"/>
  <c r="AT162"/>
  <c r="AV162"/>
  <c r="J164"/>
  <c r="L164"/>
  <c r="P164"/>
  <c r="T164"/>
  <c r="U164"/>
  <c r="V164"/>
  <c r="W164"/>
  <c r="X164"/>
  <c r="Z164"/>
  <c r="AI161" s="1"/>
  <c r="AA164"/>
  <c r="AB164"/>
  <c r="AE164"/>
  <c r="H164" s="1"/>
  <c r="AF164"/>
  <c r="AN164" s="1"/>
  <c r="AM164"/>
  <c r="AS164"/>
  <c r="AT164"/>
  <c r="AV164"/>
  <c r="AJ166"/>
  <c r="J167"/>
  <c r="L167"/>
  <c r="P167"/>
  <c r="T167"/>
  <c r="U167"/>
  <c r="V167"/>
  <c r="W167"/>
  <c r="X167"/>
  <c r="Z167"/>
  <c r="AI166" s="1"/>
  <c r="AA167"/>
  <c r="AB167"/>
  <c r="AK166" s="1"/>
  <c r="AE167"/>
  <c r="AM167" s="1"/>
  <c r="AF167"/>
  <c r="AN167"/>
  <c r="AS167"/>
  <c r="AT167"/>
  <c r="J172"/>
  <c r="P172" s="1"/>
  <c r="L172"/>
  <c r="R172"/>
  <c r="S172"/>
  <c r="T172"/>
  <c r="U172"/>
  <c r="V172"/>
  <c r="W172"/>
  <c r="X172"/>
  <c r="Z172"/>
  <c r="AA172"/>
  <c r="AB172"/>
  <c r="AE172"/>
  <c r="H172" s="1"/>
  <c r="AF172"/>
  <c r="AN172" s="1"/>
  <c r="AM172"/>
  <c r="AT172"/>
  <c r="AV172"/>
  <c r="J175"/>
  <c r="L175"/>
  <c r="P175"/>
  <c r="R175"/>
  <c r="S175"/>
  <c r="T175"/>
  <c r="U175"/>
  <c r="V175"/>
  <c r="W175"/>
  <c r="X175"/>
  <c r="Z175"/>
  <c r="AA175"/>
  <c r="AB175"/>
  <c r="AE175"/>
  <c r="AM175" s="1"/>
  <c r="AF175"/>
  <c r="AN175" s="1"/>
  <c r="AT175"/>
  <c r="AV175"/>
  <c r="J177"/>
  <c r="L177"/>
  <c r="R177"/>
  <c r="S177"/>
  <c r="T177"/>
  <c r="U177"/>
  <c r="V177"/>
  <c r="W177"/>
  <c r="X177"/>
  <c r="Z177"/>
  <c r="AA177"/>
  <c r="AE177"/>
  <c r="H177" s="1"/>
  <c r="AF177"/>
  <c r="AN177"/>
  <c r="AT177"/>
  <c r="AV177"/>
  <c r="J178"/>
  <c r="L178"/>
  <c r="AV178" s="1"/>
  <c r="P178"/>
  <c r="R178"/>
  <c r="S178"/>
  <c r="T178"/>
  <c r="U178"/>
  <c r="V178"/>
  <c r="W178"/>
  <c r="X178"/>
  <c r="Z178"/>
  <c r="AA178"/>
  <c r="AB178"/>
  <c r="AE178"/>
  <c r="AF178"/>
  <c r="AN178" s="1"/>
  <c r="AT178"/>
  <c r="J180"/>
  <c r="P180" s="1"/>
  <c r="L180"/>
  <c r="AV180" s="1"/>
  <c r="R180"/>
  <c r="S180"/>
  <c r="T180"/>
  <c r="U180"/>
  <c r="V180"/>
  <c r="W180"/>
  <c r="X180"/>
  <c r="Z180"/>
  <c r="AA180"/>
  <c r="AE180"/>
  <c r="AF180"/>
  <c r="AN180"/>
  <c r="AT180"/>
  <c r="H181"/>
  <c r="J181"/>
  <c r="P181" s="1"/>
  <c r="L181"/>
  <c r="R181"/>
  <c r="S181"/>
  <c r="T181"/>
  <c r="U181"/>
  <c r="V181"/>
  <c r="W181"/>
  <c r="X181"/>
  <c r="Z181"/>
  <c r="AA181"/>
  <c r="AB181"/>
  <c r="AE181"/>
  <c r="AF181"/>
  <c r="AN181" s="1"/>
  <c r="AM181"/>
  <c r="AS181" s="1"/>
  <c r="AT181"/>
  <c r="AV181"/>
  <c r="I182"/>
  <c r="J182"/>
  <c r="P182" s="1"/>
  <c r="L182"/>
  <c r="R182"/>
  <c r="S182"/>
  <c r="T182"/>
  <c r="U182"/>
  <c r="V182"/>
  <c r="W182"/>
  <c r="X182"/>
  <c r="Z182"/>
  <c r="AA182"/>
  <c r="AB182"/>
  <c r="AE182"/>
  <c r="H182" s="1"/>
  <c r="AF182"/>
  <c r="AN182"/>
  <c r="AT182"/>
  <c r="AV182"/>
  <c r="J183"/>
  <c r="P183" s="1"/>
  <c r="L183"/>
  <c r="R183"/>
  <c r="S183"/>
  <c r="T183"/>
  <c r="U183"/>
  <c r="V183"/>
  <c r="W183"/>
  <c r="X183"/>
  <c r="Z183"/>
  <c r="AA183"/>
  <c r="AB183"/>
  <c r="AE183"/>
  <c r="AM183" s="1"/>
  <c r="AF183"/>
  <c r="AN183" s="1"/>
  <c r="AT183"/>
  <c r="AV183"/>
  <c r="J185"/>
  <c r="P185" s="1"/>
  <c r="L185"/>
  <c r="R185"/>
  <c r="S185"/>
  <c r="T185"/>
  <c r="U185"/>
  <c r="V185"/>
  <c r="W185"/>
  <c r="X185"/>
  <c r="Z185"/>
  <c r="AA185"/>
  <c r="AB185"/>
  <c r="AE185"/>
  <c r="H185" s="1"/>
  <c r="I185" s="1"/>
  <c r="AF185"/>
  <c r="AN185" s="1"/>
  <c r="AM185"/>
  <c r="AT185"/>
  <c r="AV185"/>
  <c r="J187"/>
  <c r="P187" s="1"/>
  <c r="L187"/>
  <c r="R187"/>
  <c r="S187"/>
  <c r="T187"/>
  <c r="U187"/>
  <c r="V187"/>
  <c r="W187"/>
  <c r="X187"/>
  <c r="Z187"/>
  <c r="AA187"/>
  <c r="AB187"/>
  <c r="AE187"/>
  <c r="AM187" s="1"/>
  <c r="AF187"/>
  <c r="AN187" s="1"/>
  <c r="AS187" s="1"/>
  <c r="AT187"/>
  <c r="AV187"/>
  <c r="J190"/>
  <c r="AB190" s="1"/>
  <c r="L190"/>
  <c r="AV190" s="1"/>
  <c r="P190"/>
  <c r="R190"/>
  <c r="S190"/>
  <c r="V190"/>
  <c r="W190"/>
  <c r="X190"/>
  <c r="Z190"/>
  <c r="AA190"/>
  <c r="AE190"/>
  <c r="AF190"/>
  <c r="AN190" s="1"/>
  <c r="AT190"/>
  <c r="J191"/>
  <c r="AB191" s="1"/>
  <c r="L191"/>
  <c r="AV191" s="1"/>
  <c r="P191"/>
  <c r="R191"/>
  <c r="S191"/>
  <c r="V191"/>
  <c r="W191"/>
  <c r="X191"/>
  <c r="Z191"/>
  <c r="AA191"/>
  <c r="AE191"/>
  <c r="AM191" s="1"/>
  <c r="AF191"/>
  <c r="AN191" s="1"/>
  <c r="AT191"/>
  <c r="J193"/>
  <c r="L193"/>
  <c r="P193"/>
  <c r="R193"/>
  <c r="S193"/>
  <c r="V193"/>
  <c r="W193"/>
  <c r="X193"/>
  <c r="Z193"/>
  <c r="AA193"/>
  <c r="AE193"/>
  <c r="H193" s="1"/>
  <c r="T193" s="1"/>
  <c r="AF193"/>
  <c r="AN193"/>
  <c r="AT193"/>
  <c r="J194"/>
  <c r="L194"/>
  <c r="P194"/>
  <c r="R194"/>
  <c r="S194"/>
  <c r="V194"/>
  <c r="W194"/>
  <c r="X194"/>
  <c r="Z194"/>
  <c r="AA194"/>
  <c r="AB194"/>
  <c r="AE194"/>
  <c r="H194" s="1"/>
  <c r="AF194"/>
  <c r="AN194" s="1"/>
  <c r="AT194"/>
  <c r="AV194"/>
  <c r="J195"/>
  <c r="L195"/>
  <c r="P195"/>
  <c r="R195"/>
  <c r="S195"/>
  <c r="V195"/>
  <c r="W195"/>
  <c r="X195"/>
  <c r="Z195"/>
  <c r="AA195"/>
  <c r="AE195"/>
  <c r="AF195"/>
  <c r="AN195"/>
  <c r="AT195"/>
  <c r="AV195"/>
  <c r="H196"/>
  <c r="T196" s="1"/>
  <c r="J196"/>
  <c r="AB196" s="1"/>
  <c r="L196"/>
  <c r="P196"/>
  <c r="R196"/>
  <c r="S196"/>
  <c r="V196"/>
  <c r="W196"/>
  <c r="X196"/>
  <c r="Z196"/>
  <c r="AA196"/>
  <c r="AE196"/>
  <c r="AF196"/>
  <c r="AN196" s="1"/>
  <c r="AM196"/>
  <c r="AT196"/>
  <c r="AV196"/>
  <c r="J197"/>
  <c r="AB197" s="1"/>
  <c r="L197"/>
  <c r="P197"/>
  <c r="R197"/>
  <c r="S197"/>
  <c r="T197"/>
  <c r="V197"/>
  <c r="W197"/>
  <c r="X197"/>
  <c r="Z197"/>
  <c r="AA197"/>
  <c r="AE197"/>
  <c r="H197" s="1"/>
  <c r="AF197"/>
  <c r="AN197" s="1"/>
  <c r="AT197"/>
  <c r="AV197"/>
  <c r="J199"/>
  <c r="L199"/>
  <c r="P199"/>
  <c r="R199"/>
  <c r="S199"/>
  <c r="V199"/>
  <c r="W199"/>
  <c r="X199"/>
  <c r="Z199"/>
  <c r="AA199"/>
  <c r="AE199"/>
  <c r="H199" s="1"/>
  <c r="T199" s="1"/>
  <c r="AF199"/>
  <c r="AN199" s="1"/>
  <c r="AT199"/>
  <c r="AV199"/>
  <c r="J200"/>
  <c r="AB200" s="1"/>
  <c r="L200"/>
  <c r="AV200" s="1"/>
  <c r="P200"/>
  <c r="R200"/>
  <c r="S200"/>
  <c r="V200"/>
  <c r="W200"/>
  <c r="X200"/>
  <c r="Z200"/>
  <c r="AA200"/>
  <c r="AE200"/>
  <c r="AM200" s="1"/>
  <c r="AF200"/>
  <c r="AN200" s="1"/>
  <c r="AT200"/>
  <c r="J203"/>
  <c r="L203"/>
  <c r="P203"/>
  <c r="R203"/>
  <c r="S203"/>
  <c r="V203"/>
  <c r="W203"/>
  <c r="X203"/>
  <c r="Z203"/>
  <c r="AA203"/>
  <c r="AE203"/>
  <c r="H203" s="1"/>
  <c r="T203" s="1"/>
  <c r="AF203"/>
  <c r="AN203" s="1"/>
  <c r="AT203"/>
  <c r="AV203"/>
  <c r="J204"/>
  <c r="AB204" s="1"/>
  <c r="L204"/>
  <c r="AV204" s="1"/>
  <c r="P204"/>
  <c r="R204"/>
  <c r="S204"/>
  <c r="V204"/>
  <c r="W204"/>
  <c r="X204"/>
  <c r="Z204"/>
  <c r="AA204"/>
  <c r="AE204"/>
  <c r="AM204" s="1"/>
  <c r="AF204"/>
  <c r="AN204"/>
  <c r="AT204"/>
  <c r="J205"/>
  <c r="AB205" s="1"/>
  <c r="L205"/>
  <c r="P205"/>
  <c r="R205"/>
  <c r="S205"/>
  <c r="V205"/>
  <c r="W205"/>
  <c r="X205"/>
  <c r="Z205"/>
  <c r="AA205"/>
  <c r="AE205"/>
  <c r="H205" s="1"/>
  <c r="T205" s="1"/>
  <c r="AF205"/>
  <c r="AN205" s="1"/>
  <c r="AT205"/>
  <c r="AV205"/>
  <c r="J206"/>
  <c r="AB206" s="1"/>
  <c r="L206"/>
  <c r="AV206" s="1"/>
  <c r="P206"/>
  <c r="R206"/>
  <c r="S206"/>
  <c r="V206"/>
  <c r="W206"/>
  <c r="X206"/>
  <c r="Z206"/>
  <c r="AA206"/>
  <c r="AE206"/>
  <c r="AM206" s="1"/>
  <c r="AF206"/>
  <c r="AN206" s="1"/>
  <c r="AT206"/>
  <c r="J208"/>
  <c r="I208" s="1"/>
  <c r="L208"/>
  <c r="P208"/>
  <c r="R208"/>
  <c r="S208"/>
  <c r="T208"/>
  <c r="V208"/>
  <c r="W208"/>
  <c r="X208"/>
  <c r="Z208"/>
  <c r="AA208"/>
  <c r="AE208"/>
  <c r="H208" s="1"/>
  <c r="AF208"/>
  <c r="AN208" s="1"/>
  <c r="AM208"/>
  <c r="AT208"/>
  <c r="AV208"/>
  <c r="J211"/>
  <c r="L211"/>
  <c r="P211"/>
  <c r="R211"/>
  <c r="S211"/>
  <c r="V211"/>
  <c r="W211"/>
  <c r="X211"/>
  <c r="Z211"/>
  <c r="AA211"/>
  <c r="AB211"/>
  <c r="AE211"/>
  <c r="AM211" s="1"/>
  <c r="AF211"/>
  <c r="AN211" s="1"/>
  <c r="AT211"/>
  <c r="AV211"/>
  <c r="AJ212"/>
  <c r="J213"/>
  <c r="AB213" s="1"/>
  <c r="AK212" s="1"/>
  <c r="L213"/>
  <c r="P213"/>
  <c r="T213"/>
  <c r="U213"/>
  <c r="V213"/>
  <c r="W213"/>
  <c r="X213"/>
  <c r="Z213"/>
  <c r="AI212" s="1"/>
  <c r="AA213"/>
  <c r="AE213"/>
  <c r="AM213" s="1"/>
  <c r="AF213"/>
  <c r="AN213" s="1"/>
  <c r="AT213"/>
  <c r="J216"/>
  <c r="L216"/>
  <c r="P216"/>
  <c r="R216"/>
  <c r="S216"/>
  <c r="V216"/>
  <c r="W216"/>
  <c r="X216"/>
  <c r="Z216"/>
  <c r="AA216"/>
  <c r="AE216"/>
  <c r="H216" s="1"/>
  <c r="T216" s="1"/>
  <c r="AF216"/>
  <c r="AN216" s="1"/>
  <c r="AT216"/>
  <c r="AV216"/>
  <c r="J217"/>
  <c r="AB217" s="1"/>
  <c r="L217"/>
  <c r="AV217" s="1"/>
  <c r="P217"/>
  <c r="R217"/>
  <c r="S217"/>
  <c r="V217"/>
  <c r="W217"/>
  <c r="X217"/>
  <c r="Z217"/>
  <c r="AA217"/>
  <c r="AE217"/>
  <c r="AF217"/>
  <c r="AN217" s="1"/>
  <c r="AT217"/>
  <c r="J218"/>
  <c r="L218"/>
  <c r="AV218" s="1"/>
  <c r="P218"/>
  <c r="R218"/>
  <c r="S218"/>
  <c r="T218"/>
  <c r="V218"/>
  <c r="W218"/>
  <c r="X218"/>
  <c r="Z218"/>
  <c r="AA218"/>
  <c r="AE218"/>
  <c r="H218" s="1"/>
  <c r="AF218"/>
  <c r="AN218"/>
  <c r="AT218"/>
  <c r="J219"/>
  <c r="AB219" s="1"/>
  <c r="L219"/>
  <c r="P219"/>
  <c r="R219"/>
  <c r="S219"/>
  <c r="V219"/>
  <c r="W219"/>
  <c r="X219"/>
  <c r="Z219"/>
  <c r="AA219"/>
  <c r="AE219"/>
  <c r="H219" s="1"/>
  <c r="T219" s="1"/>
  <c r="AF219"/>
  <c r="AN219" s="1"/>
  <c r="AT219"/>
  <c r="AV219"/>
  <c r="J220"/>
  <c r="L220"/>
  <c r="P220"/>
  <c r="R220"/>
  <c r="S220"/>
  <c r="V220"/>
  <c r="W220"/>
  <c r="X220"/>
  <c r="Z220"/>
  <c r="AA220"/>
  <c r="AE220"/>
  <c r="AF220"/>
  <c r="AN220"/>
  <c r="AT220"/>
  <c r="AV220"/>
  <c r="J221"/>
  <c r="AB221" s="1"/>
  <c r="L221"/>
  <c r="P221"/>
  <c r="R221"/>
  <c r="S221"/>
  <c r="V221"/>
  <c r="W221"/>
  <c r="X221"/>
  <c r="Z221"/>
  <c r="AA221"/>
  <c r="AE221"/>
  <c r="AM221" s="1"/>
  <c r="AF221"/>
  <c r="AN221" s="1"/>
  <c r="AT221"/>
  <c r="AV221"/>
  <c r="J222"/>
  <c r="L222"/>
  <c r="P222"/>
  <c r="R222"/>
  <c r="S222"/>
  <c r="V222"/>
  <c r="W222"/>
  <c r="X222"/>
  <c r="Z222"/>
  <c r="AA222"/>
  <c r="AB222"/>
  <c r="AE222"/>
  <c r="H222" s="1"/>
  <c r="T222" s="1"/>
  <c r="AF222"/>
  <c r="AN222" s="1"/>
  <c r="AT222"/>
  <c r="AV222"/>
  <c r="J223"/>
  <c r="L223"/>
  <c r="P223"/>
  <c r="R223"/>
  <c r="S223"/>
  <c r="V223"/>
  <c r="W223"/>
  <c r="X223"/>
  <c r="Z223"/>
  <c r="AA223"/>
  <c r="AB223"/>
  <c r="AE223"/>
  <c r="AM223" s="1"/>
  <c r="AF223"/>
  <c r="AN223" s="1"/>
  <c r="AT223"/>
  <c r="AV223"/>
  <c r="J224"/>
  <c r="L224"/>
  <c r="P224"/>
  <c r="R224"/>
  <c r="S224"/>
  <c r="V224"/>
  <c r="W224"/>
  <c r="X224"/>
  <c r="Z224"/>
  <c r="AA224"/>
  <c r="AE224"/>
  <c r="H224" s="1"/>
  <c r="T224" s="1"/>
  <c r="AF224"/>
  <c r="AN224"/>
  <c r="AT224"/>
  <c r="AV224"/>
  <c r="J225"/>
  <c r="AB225" s="1"/>
  <c r="L225"/>
  <c r="AV225" s="1"/>
  <c r="P225"/>
  <c r="R225"/>
  <c r="S225"/>
  <c r="V225"/>
  <c r="W225"/>
  <c r="X225"/>
  <c r="Z225"/>
  <c r="AA225"/>
  <c r="AE225"/>
  <c r="AF225"/>
  <c r="AN225" s="1"/>
  <c r="AT225"/>
  <c r="J226"/>
  <c r="L226"/>
  <c r="AV226" s="1"/>
  <c r="P226"/>
  <c r="R226"/>
  <c r="S226"/>
  <c r="V226"/>
  <c r="W226"/>
  <c r="X226"/>
  <c r="Z226"/>
  <c r="AA226"/>
  <c r="AE226"/>
  <c r="H226" s="1"/>
  <c r="T226" s="1"/>
  <c r="AF226"/>
  <c r="AN226"/>
  <c r="AT226"/>
  <c r="J227"/>
  <c r="L227"/>
  <c r="P227"/>
  <c r="R227"/>
  <c r="S227"/>
  <c r="V227"/>
  <c r="W227"/>
  <c r="X227"/>
  <c r="Z227"/>
  <c r="AA227"/>
  <c r="AB227"/>
  <c r="AE227"/>
  <c r="AM227" s="1"/>
  <c r="AS227" s="1"/>
  <c r="AF227"/>
  <c r="AN227" s="1"/>
  <c r="AT227"/>
  <c r="AV227"/>
  <c r="J228"/>
  <c r="L228"/>
  <c r="P228"/>
  <c r="R228"/>
  <c r="S228"/>
  <c r="V228"/>
  <c r="W228"/>
  <c r="X228"/>
  <c r="Z228"/>
  <c r="AA228"/>
  <c r="AE228"/>
  <c r="AF228"/>
  <c r="AN228"/>
  <c r="AT228"/>
  <c r="AV228"/>
  <c r="J229"/>
  <c r="AB229" s="1"/>
  <c r="L229"/>
  <c r="P229"/>
  <c r="R229"/>
  <c r="S229"/>
  <c r="V229"/>
  <c r="W229"/>
  <c r="X229"/>
  <c r="Z229"/>
  <c r="AA229"/>
  <c r="AE229"/>
  <c r="H229" s="1"/>
  <c r="AF229"/>
  <c r="AN229" s="1"/>
  <c r="AM229"/>
  <c r="AS229" s="1"/>
  <c r="AT229"/>
  <c r="AV229"/>
  <c r="J230"/>
  <c r="AB230" s="1"/>
  <c r="L230"/>
  <c r="P230"/>
  <c r="R230"/>
  <c r="S230"/>
  <c r="V230"/>
  <c r="W230"/>
  <c r="X230"/>
  <c r="Z230"/>
  <c r="AA230"/>
  <c r="AE230"/>
  <c r="H230" s="1"/>
  <c r="AF230"/>
  <c r="AN230" s="1"/>
  <c r="AM230"/>
  <c r="AT230"/>
  <c r="AV230"/>
  <c r="J231"/>
  <c r="AB231" s="1"/>
  <c r="L231"/>
  <c r="P231"/>
  <c r="R231"/>
  <c r="S231"/>
  <c r="V231"/>
  <c r="W231"/>
  <c r="X231"/>
  <c r="Z231"/>
  <c r="AA231"/>
  <c r="AE231"/>
  <c r="AM231" s="1"/>
  <c r="AF231"/>
  <c r="AN231" s="1"/>
  <c r="AT231"/>
  <c r="AV231"/>
  <c r="J232"/>
  <c r="I232" s="1"/>
  <c r="U232" s="1"/>
  <c r="L232"/>
  <c r="P232"/>
  <c r="R232"/>
  <c r="S232"/>
  <c r="V232"/>
  <c r="W232"/>
  <c r="X232"/>
  <c r="Z232"/>
  <c r="AA232"/>
  <c r="AE232"/>
  <c r="H232" s="1"/>
  <c r="T232" s="1"/>
  <c r="AF232"/>
  <c r="AN232" s="1"/>
  <c r="AT232"/>
  <c r="AV232"/>
  <c r="J233"/>
  <c r="L233"/>
  <c r="AV233" s="1"/>
  <c r="P233"/>
  <c r="R233"/>
  <c r="S233"/>
  <c r="V233"/>
  <c r="W233"/>
  <c r="X233"/>
  <c r="Z233"/>
  <c r="AA233"/>
  <c r="AB233"/>
  <c r="AE233"/>
  <c r="AF233"/>
  <c r="AN233" s="1"/>
  <c r="AT233"/>
  <c r="J234"/>
  <c r="I234" s="1"/>
  <c r="U234" s="1"/>
  <c r="L234"/>
  <c r="AV234" s="1"/>
  <c r="P234"/>
  <c r="R234"/>
  <c r="S234"/>
  <c r="V234"/>
  <c r="W234"/>
  <c r="X234"/>
  <c r="Z234"/>
  <c r="AA234"/>
  <c r="AE234"/>
  <c r="H234" s="1"/>
  <c r="T234" s="1"/>
  <c r="AF234"/>
  <c r="AN234" s="1"/>
  <c r="AT234"/>
  <c r="J235"/>
  <c r="L235"/>
  <c r="P235"/>
  <c r="R235"/>
  <c r="S235"/>
  <c r="V235"/>
  <c r="W235"/>
  <c r="X235"/>
  <c r="Z235"/>
  <c r="AA235"/>
  <c r="AB235"/>
  <c r="AE235"/>
  <c r="H235" s="1"/>
  <c r="T235" s="1"/>
  <c r="AF235"/>
  <c r="AN235" s="1"/>
  <c r="AT235"/>
  <c r="AV235"/>
  <c r="J237"/>
  <c r="AB237" s="1"/>
  <c r="L237"/>
  <c r="AV237" s="1"/>
  <c r="P237"/>
  <c r="T237"/>
  <c r="U237"/>
  <c r="V237"/>
  <c r="W237"/>
  <c r="X237"/>
  <c r="Z237"/>
  <c r="AA237"/>
  <c r="AE237"/>
  <c r="AM237" s="1"/>
  <c r="AF237"/>
  <c r="AN237" s="1"/>
  <c r="AS237" s="1"/>
  <c r="AT237"/>
  <c r="H238"/>
  <c r="J238"/>
  <c r="L238"/>
  <c r="P238"/>
  <c r="R238"/>
  <c r="T238"/>
  <c r="U238"/>
  <c r="V238"/>
  <c r="W238"/>
  <c r="X238"/>
  <c r="Z238"/>
  <c r="AA238"/>
  <c r="AJ236" s="1"/>
  <c r="AB238"/>
  <c r="AE238"/>
  <c r="AF238"/>
  <c r="AM238"/>
  <c r="AN238"/>
  <c r="AT238"/>
  <c r="AV238"/>
  <c r="H240"/>
  <c r="J240"/>
  <c r="P240" s="1"/>
  <c r="L240"/>
  <c r="R240"/>
  <c r="S240"/>
  <c r="T240"/>
  <c r="U240"/>
  <c r="V240"/>
  <c r="W240"/>
  <c r="X240"/>
  <c r="Z240"/>
  <c r="AA240"/>
  <c r="AB240"/>
  <c r="AE240"/>
  <c r="AM240" s="1"/>
  <c r="AF240"/>
  <c r="AN240" s="1"/>
  <c r="AT240"/>
  <c r="AV240"/>
  <c r="J244"/>
  <c r="P244" s="1"/>
  <c r="L244"/>
  <c r="R244"/>
  <c r="S244"/>
  <c r="T244"/>
  <c r="U244"/>
  <c r="V244"/>
  <c r="W244"/>
  <c r="X244"/>
  <c r="Z244"/>
  <c r="AA244"/>
  <c r="AE244"/>
  <c r="H244" s="1"/>
  <c r="AF244"/>
  <c r="AN244" s="1"/>
  <c r="AT244"/>
  <c r="AV244"/>
  <c r="J246"/>
  <c r="P246" s="1"/>
  <c r="L246"/>
  <c r="AV246" s="1"/>
  <c r="R246"/>
  <c r="S246"/>
  <c r="T246"/>
  <c r="U246"/>
  <c r="V246"/>
  <c r="W246"/>
  <c r="X246"/>
  <c r="Z246"/>
  <c r="AA246"/>
  <c r="AB246"/>
  <c r="AE246"/>
  <c r="AF246"/>
  <c r="AN246" s="1"/>
  <c r="AT246"/>
  <c r="J248"/>
  <c r="P248" s="1"/>
  <c r="L248"/>
  <c r="AV248" s="1"/>
  <c r="R248"/>
  <c r="S248"/>
  <c r="T248"/>
  <c r="U248"/>
  <c r="V248"/>
  <c r="W248"/>
  <c r="X248"/>
  <c r="Z248"/>
  <c r="AA248"/>
  <c r="AE248"/>
  <c r="H248" s="1"/>
  <c r="AF248"/>
  <c r="AN248" s="1"/>
  <c r="AT248"/>
  <c r="H250"/>
  <c r="J250"/>
  <c r="I250" s="1"/>
  <c r="L250"/>
  <c r="P250"/>
  <c r="R250"/>
  <c r="S250"/>
  <c r="T250"/>
  <c r="U250"/>
  <c r="V250"/>
  <c r="W250"/>
  <c r="X250"/>
  <c r="Z250"/>
  <c r="AA250"/>
  <c r="AB250"/>
  <c r="AE250"/>
  <c r="AF250"/>
  <c r="AN250" s="1"/>
  <c r="AM250"/>
  <c r="AS250" s="1"/>
  <c r="AT250"/>
  <c r="AV250"/>
  <c r="J251"/>
  <c r="L251"/>
  <c r="R251"/>
  <c r="S251"/>
  <c r="T251"/>
  <c r="U251"/>
  <c r="V251"/>
  <c r="W251"/>
  <c r="X251"/>
  <c r="Z251"/>
  <c r="AA251"/>
  <c r="AE251"/>
  <c r="AF251"/>
  <c r="AN251"/>
  <c r="AT251"/>
  <c r="AV251"/>
  <c r="H252"/>
  <c r="I252"/>
  <c r="J252"/>
  <c r="L252"/>
  <c r="P252"/>
  <c r="R252"/>
  <c r="S252"/>
  <c r="T252"/>
  <c r="U252"/>
  <c r="V252"/>
  <c r="W252"/>
  <c r="X252"/>
  <c r="Z252"/>
  <c r="AA252"/>
  <c r="AB252"/>
  <c r="AE252"/>
  <c r="AF252"/>
  <c r="AN252" s="1"/>
  <c r="AM252"/>
  <c r="AS252" s="1"/>
  <c r="AT252"/>
  <c r="AV252"/>
  <c r="J253"/>
  <c r="P253" s="1"/>
  <c r="L253"/>
  <c r="R253"/>
  <c r="S253"/>
  <c r="T253"/>
  <c r="U253"/>
  <c r="V253"/>
  <c r="W253"/>
  <c r="X253"/>
  <c r="Z253"/>
  <c r="AA253"/>
  <c r="AE253"/>
  <c r="H253" s="1"/>
  <c r="AF253"/>
  <c r="AN253"/>
  <c r="AT253"/>
  <c r="AV253"/>
  <c r="J255"/>
  <c r="P255" s="1"/>
  <c r="L255"/>
  <c r="R255"/>
  <c r="S255"/>
  <c r="T255"/>
  <c r="U255"/>
  <c r="V255"/>
  <c r="W255"/>
  <c r="X255"/>
  <c r="Z255"/>
  <c r="AA255"/>
  <c r="AB255"/>
  <c r="AE255"/>
  <c r="AM255" s="1"/>
  <c r="AF255"/>
  <c r="AN255" s="1"/>
  <c r="AT255"/>
  <c r="AV255"/>
  <c r="J258"/>
  <c r="L258"/>
  <c r="P258"/>
  <c r="T258"/>
  <c r="U258"/>
  <c r="V258"/>
  <c r="W258"/>
  <c r="X258"/>
  <c r="Z258"/>
  <c r="AA258"/>
  <c r="AE258"/>
  <c r="H258" s="1"/>
  <c r="AF258"/>
  <c r="AN258" s="1"/>
  <c r="AT258"/>
  <c r="AV258"/>
  <c r="J260"/>
  <c r="AB260" s="1"/>
  <c r="L260"/>
  <c r="AV260" s="1"/>
  <c r="P260"/>
  <c r="T260"/>
  <c r="U260"/>
  <c r="V260"/>
  <c r="W260"/>
  <c r="X260"/>
  <c r="Z260"/>
  <c r="AA260"/>
  <c r="AE260"/>
  <c r="AF260"/>
  <c r="AN260" s="1"/>
  <c r="AT260"/>
  <c r="J262"/>
  <c r="L262"/>
  <c r="P262"/>
  <c r="T262"/>
  <c r="U262"/>
  <c r="V262"/>
  <c r="W262"/>
  <c r="X262"/>
  <c r="Z262"/>
  <c r="AA262"/>
  <c r="AB262"/>
  <c r="AE262"/>
  <c r="H262" s="1"/>
  <c r="AF262"/>
  <c r="AN262" s="1"/>
  <c r="AM262"/>
  <c r="AT262"/>
  <c r="AV262"/>
  <c r="J265"/>
  <c r="L265"/>
  <c r="AV265" s="1"/>
  <c r="P265"/>
  <c r="T265"/>
  <c r="U265"/>
  <c r="V265"/>
  <c r="W265"/>
  <c r="X265"/>
  <c r="Z265"/>
  <c r="AA265"/>
  <c r="AB265"/>
  <c r="AE265"/>
  <c r="AF265"/>
  <c r="AN265"/>
  <c r="AT265"/>
  <c r="H268"/>
  <c r="R268" s="1"/>
  <c r="J268"/>
  <c r="I268" s="1"/>
  <c r="S268" s="1"/>
  <c r="L268"/>
  <c r="P268"/>
  <c r="T268"/>
  <c r="U268"/>
  <c r="V268"/>
  <c r="W268"/>
  <c r="X268"/>
  <c r="Z268"/>
  <c r="AA268"/>
  <c r="AB268"/>
  <c r="AE268"/>
  <c r="AF268"/>
  <c r="AN268" s="1"/>
  <c r="AM268"/>
  <c r="AT268"/>
  <c r="AV268"/>
  <c r="L269"/>
  <c r="G49" i="2" s="1"/>
  <c r="J270" i="1"/>
  <c r="L270"/>
  <c r="AV270" s="1"/>
  <c r="P270"/>
  <c r="T270"/>
  <c r="U270"/>
  <c r="V270"/>
  <c r="W270"/>
  <c r="X270"/>
  <c r="Z270"/>
  <c r="AA270"/>
  <c r="AB270"/>
  <c r="AE270"/>
  <c r="AM270" s="1"/>
  <c r="AF270"/>
  <c r="AN270" s="1"/>
  <c r="AT270"/>
  <c r="H277"/>
  <c r="J277"/>
  <c r="I277" s="1"/>
  <c r="L277"/>
  <c r="P277"/>
  <c r="R277"/>
  <c r="S277"/>
  <c r="T277"/>
  <c r="U277"/>
  <c r="V277"/>
  <c r="W277"/>
  <c r="X277"/>
  <c r="Z277"/>
  <c r="AA277"/>
  <c r="AB277"/>
  <c r="AK269" s="1"/>
  <c r="AE277"/>
  <c r="AF277"/>
  <c r="AM277"/>
  <c r="AN277"/>
  <c r="AT277"/>
  <c r="AV277"/>
  <c r="L278"/>
  <c r="J279"/>
  <c r="L279"/>
  <c r="P279"/>
  <c r="T279"/>
  <c r="U279"/>
  <c r="V279"/>
  <c r="W279"/>
  <c r="X279"/>
  <c r="Z279"/>
  <c r="AI278" s="1"/>
  <c r="AA279"/>
  <c r="AJ278" s="1"/>
  <c r="AB279"/>
  <c r="AK278" s="1"/>
  <c r="AE279"/>
  <c r="H279" s="1"/>
  <c r="R279" s="1"/>
  <c r="AF279"/>
  <c r="AN279" s="1"/>
  <c r="AM279"/>
  <c r="AT279"/>
  <c r="AV279"/>
  <c r="L281"/>
  <c r="J282"/>
  <c r="AB282" s="1"/>
  <c r="L282"/>
  <c r="AV282" s="1"/>
  <c r="P282"/>
  <c r="T282"/>
  <c r="U282"/>
  <c r="V282"/>
  <c r="W282"/>
  <c r="X282"/>
  <c r="Z282"/>
  <c r="AA282"/>
  <c r="AE282"/>
  <c r="AM282" s="1"/>
  <c r="AF282"/>
  <c r="AN282" s="1"/>
  <c r="AT282"/>
  <c r="H283"/>
  <c r="J283"/>
  <c r="L283"/>
  <c r="P283"/>
  <c r="R283"/>
  <c r="T283"/>
  <c r="U283"/>
  <c r="V283"/>
  <c r="W283"/>
  <c r="X283"/>
  <c r="Z283"/>
  <c r="AA283"/>
  <c r="AJ281" s="1"/>
  <c r="AB283"/>
  <c r="AE283"/>
  <c r="AF283"/>
  <c r="AN283" s="1"/>
  <c r="AM283"/>
  <c r="AT283"/>
  <c r="AV283"/>
  <c r="L284"/>
  <c r="G52" i="2" s="1"/>
  <c r="J285" i="1"/>
  <c r="AB285" s="1"/>
  <c r="AK284" s="1"/>
  <c r="L285"/>
  <c r="P285"/>
  <c r="R285"/>
  <c r="S285"/>
  <c r="V285"/>
  <c r="W285"/>
  <c r="X285"/>
  <c r="Z285"/>
  <c r="AI284" s="1"/>
  <c r="AA285"/>
  <c r="AJ284" s="1"/>
  <c r="AE285"/>
  <c r="AM285" s="1"/>
  <c r="AS285" s="1"/>
  <c r="AF285"/>
  <c r="AN285" s="1"/>
  <c r="AT285"/>
  <c r="AV285"/>
  <c r="L286"/>
  <c r="G53" i="2" s="1"/>
  <c r="J287" i="1"/>
  <c r="L287"/>
  <c r="AV287" s="1"/>
  <c r="P287"/>
  <c r="R287"/>
  <c r="S287"/>
  <c r="V287"/>
  <c r="W287"/>
  <c r="X287"/>
  <c r="Z287"/>
  <c r="AA287"/>
  <c r="AE287"/>
  <c r="AM287" s="1"/>
  <c r="AF287"/>
  <c r="AN287" s="1"/>
  <c r="AT287"/>
  <c r="J288"/>
  <c r="L288"/>
  <c r="P288"/>
  <c r="R288"/>
  <c r="S288"/>
  <c r="V288"/>
  <c r="W288"/>
  <c r="X288"/>
  <c r="Z288"/>
  <c r="AA288"/>
  <c r="AE288"/>
  <c r="H288" s="1"/>
  <c r="T288" s="1"/>
  <c r="AF288"/>
  <c r="AN288" s="1"/>
  <c r="AT288"/>
  <c r="AV288"/>
  <c r="L289"/>
  <c r="J290"/>
  <c r="L290"/>
  <c r="P290"/>
  <c r="R290"/>
  <c r="S290"/>
  <c r="V290"/>
  <c r="W290"/>
  <c r="X290"/>
  <c r="Z290"/>
  <c r="AI289" s="1"/>
  <c r="AA290"/>
  <c r="AJ289" s="1"/>
  <c r="AB290"/>
  <c r="AK289" s="1"/>
  <c r="AE290"/>
  <c r="AM290" s="1"/>
  <c r="AS290" s="1"/>
  <c r="AF290"/>
  <c r="AN290" s="1"/>
  <c r="AT290"/>
  <c r="AV290"/>
  <c r="L292"/>
  <c r="H293"/>
  <c r="J293"/>
  <c r="L293"/>
  <c r="AV293" s="1"/>
  <c r="P293"/>
  <c r="R293"/>
  <c r="S293"/>
  <c r="T293"/>
  <c r="U293"/>
  <c r="V293"/>
  <c r="W293"/>
  <c r="X293"/>
  <c r="Z293"/>
  <c r="AA293"/>
  <c r="AB293"/>
  <c r="AE293"/>
  <c r="AM293" s="1"/>
  <c r="AF293"/>
  <c r="AN293" s="1"/>
  <c r="AT293"/>
  <c r="J294"/>
  <c r="L294"/>
  <c r="P294"/>
  <c r="R294"/>
  <c r="S294"/>
  <c r="V294"/>
  <c r="W294"/>
  <c r="X294"/>
  <c r="Z294"/>
  <c r="AA294"/>
  <c r="AB294"/>
  <c r="AE294"/>
  <c r="H294" s="1"/>
  <c r="T294" s="1"/>
  <c r="AF294"/>
  <c r="AM294"/>
  <c r="AN294"/>
  <c r="AT294"/>
  <c r="AV294"/>
  <c r="J298"/>
  <c r="L298"/>
  <c r="AV298" s="1"/>
  <c r="P298"/>
  <c r="R298"/>
  <c r="S298"/>
  <c r="V298"/>
  <c r="W298"/>
  <c r="X298"/>
  <c r="Z298"/>
  <c r="AA298"/>
  <c r="AE298"/>
  <c r="AM298" s="1"/>
  <c r="AF298"/>
  <c r="AN298" s="1"/>
  <c r="AT298"/>
  <c r="J302"/>
  <c r="L302"/>
  <c r="P302"/>
  <c r="R302"/>
  <c r="S302"/>
  <c r="V302"/>
  <c r="W302"/>
  <c r="X302"/>
  <c r="Z302"/>
  <c r="AA302"/>
  <c r="AE302"/>
  <c r="H302" s="1"/>
  <c r="T302" s="1"/>
  <c r="AF302"/>
  <c r="AM302"/>
  <c r="AS302" s="1"/>
  <c r="AN302"/>
  <c r="AT302"/>
  <c r="AV302"/>
  <c r="J304"/>
  <c r="AB304" s="1"/>
  <c r="L304"/>
  <c r="AV304" s="1"/>
  <c r="P304"/>
  <c r="R304"/>
  <c r="S304"/>
  <c r="V304"/>
  <c r="W304"/>
  <c r="X304"/>
  <c r="Z304"/>
  <c r="AA304"/>
  <c r="AE304"/>
  <c r="AM304" s="1"/>
  <c r="AF304"/>
  <c r="AN304" s="1"/>
  <c r="AT304"/>
  <c r="J307"/>
  <c r="L307"/>
  <c r="P307"/>
  <c r="R307"/>
  <c r="S307"/>
  <c r="V307"/>
  <c r="W307"/>
  <c r="X307"/>
  <c r="Z307"/>
  <c r="AA307"/>
  <c r="AB307"/>
  <c r="AE307"/>
  <c r="AF307"/>
  <c r="AN307"/>
  <c r="AT307"/>
  <c r="H309"/>
  <c r="T309" s="1"/>
  <c r="J309"/>
  <c r="I309" s="1"/>
  <c r="U309" s="1"/>
  <c r="L309"/>
  <c r="P309"/>
  <c r="R309"/>
  <c r="S309"/>
  <c r="V309"/>
  <c r="W309"/>
  <c r="X309"/>
  <c r="Z309"/>
  <c r="AI306" s="1"/>
  <c r="AA309"/>
  <c r="AJ306" s="1"/>
  <c r="AB309"/>
  <c r="AK306" s="1"/>
  <c r="AE309"/>
  <c r="AF309"/>
  <c r="AN309" s="1"/>
  <c r="AM309"/>
  <c r="AT309"/>
  <c r="AV309"/>
  <c r="L310"/>
  <c r="G57" i="2" s="1"/>
  <c r="J311" i="1"/>
  <c r="L311"/>
  <c r="AV311" s="1"/>
  <c r="P311"/>
  <c r="T311"/>
  <c r="U311"/>
  <c r="V311"/>
  <c r="W311"/>
  <c r="X311"/>
  <c r="Z311"/>
  <c r="AA311"/>
  <c r="AB311"/>
  <c r="AE311"/>
  <c r="AM311" s="1"/>
  <c r="AF311"/>
  <c r="AN311" s="1"/>
  <c r="AT311"/>
  <c r="J313"/>
  <c r="L313"/>
  <c r="P313"/>
  <c r="T313"/>
  <c r="U313"/>
  <c r="V313"/>
  <c r="W313"/>
  <c r="X313"/>
  <c r="Z313"/>
  <c r="AA313"/>
  <c r="AJ310" s="1"/>
  <c r="AB313"/>
  <c r="AE313"/>
  <c r="H313" s="1"/>
  <c r="R313" s="1"/>
  <c r="AF313"/>
  <c r="AM313"/>
  <c r="AN313"/>
  <c r="AT313"/>
  <c r="AV313"/>
  <c r="J316"/>
  <c r="I316" s="1"/>
  <c r="L316"/>
  <c r="P316"/>
  <c r="T316"/>
  <c r="U316"/>
  <c r="V316"/>
  <c r="W316"/>
  <c r="X316"/>
  <c r="Z316"/>
  <c r="AA316"/>
  <c r="AB316"/>
  <c r="AE316"/>
  <c r="H316" s="1"/>
  <c r="R316" s="1"/>
  <c r="AF316"/>
  <c r="AN316" s="1"/>
  <c r="AM316"/>
  <c r="AT316"/>
  <c r="AV316"/>
  <c r="J317"/>
  <c r="AB317" s="1"/>
  <c r="AK315" s="1"/>
  <c r="L317"/>
  <c r="P317"/>
  <c r="T317"/>
  <c r="U317"/>
  <c r="V317"/>
  <c r="W317"/>
  <c r="X317"/>
  <c r="Z317"/>
  <c r="AA317"/>
  <c r="AE317"/>
  <c r="AF317"/>
  <c r="AN317" s="1"/>
  <c r="AT317"/>
  <c r="L320"/>
  <c r="J321"/>
  <c r="L321"/>
  <c r="R321"/>
  <c r="S321"/>
  <c r="T321"/>
  <c r="U321"/>
  <c r="V321"/>
  <c r="W321"/>
  <c r="X321"/>
  <c r="Z321"/>
  <c r="AI320" s="1"/>
  <c r="AA321"/>
  <c r="AJ320" s="1"/>
  <c r="AB321"/>
  <c r="AK320" s="1"/>
  <c r="AE321"/>
  <c r="H321" s="1"/>
  <c r="H320" s="1"/>
  <c r="AF321"/>
  <c r="AM321"/>
  <c r="AN321"/>
  <c r="AT321"/>
  <c r="AV321"/>
  <c r="J323"/>
  <c r="L323"/>
  <c r="P323"/>
  <c r="R323"/>
  <c r="S323"/>
  <c r="T323"/>
  <c r="U323"/>
  <c r="V323"/>
  <c r="W323"/>
  <c r="X323"/>
  <c r="Z323"/>
  <c r="AA323"/>
  <c r="AB323"/>
  <c r="AE323"/>
  <c r="H323" s="1"/>
  <c r="AF323"/>
  <c r="AN323" s="1"/>
  <c r="AT323"/>
  <c r="AV323"/>
  <c r="J325"/>
  <c r="P325" s="1"/>
  <c r="L325"/>
  <c r="R325"/>
  <c r="S325"/>
  <c r="T325"/>
  <c r="U325"/>
  <c r="V325"/>
  <c r="W325"/>
  <c r="X325"/>
  <c r="Z325"/>
  <c r="AA325"/>
  <c r="AB325"/>
  <c r="AE325"/>
  <c r="AF325"/>
  <c r="AN325"/>
  <c r="AT325"/>
  <c r="J327"/>
  <c r="P327" s="1"/>
  <c r="L327"/>
  <c r="R327"/>
  <c r="S327"/>
  <c r="T327"/>
  <c r="U327"/>
  <c r="V327"/>
  <c r="W327"/>
  <c r="X327"/>
  <c r="Z327"/>
  <c r="AA327"/>
  <c r="AB327"/>
  <c r="AE327"/>
  <c r="H327" s="1"/>
  <c r="AF327"/>
  <c r="AN327" s="1"/>
  <c r="AM327"/>
  <c r="AS327" s="1"/>
  <c r="AT327"/>
  <c r="AV327"/>
  <c r="J329"/>
  <c r="P329" s="1"/>
  <c r="L329"/>
  <c r="AV329" s="1"/>
  <c r="R329"/>
  <c r="S329"/>
  <c r="T329"/>
  <c r="U329"/>
  <c r="V329"/>
  <c r="W329"/>
  <c r="X329"/>
  <c r="Z329"/>
  <c r="AA329"/>
  <c r="AB329"/>
  <c r="AE329"/>
  <c r="AF329"/>
  <c r="AN329" s="1"/>
  <c r="AT329"/>
  <c r="J331"/>
  <c r="P331" s="1"/>
  <c r="L331"/>
  <c r="R331"/>
  <c r="S331"/>
  <c r="T331"/>
  <c r="U331"/>
  <c r="V331"/>
  <c r="W331"/>
  <c r="X331"/>
  <c r="Z331"/>
  <c r="AA331"/>
  <c r="AB331"/>
  <c r="AE331"/>
  <c r="H331" s="1"/>
  <c r="AF331"/>
  <c r="AN331" s="1"/>
  <c r="AM331"/>
  <c r="AT331"/>
  <c r="AV331"/>
  <c r="J332"/>
  <c r="P332" s="1"/>
  <c r="L332"/>
  <c r="AV332" s="1"/>
  <c r="R332"/>
  <c r="S332"/>
  <c r="T332"/>
  <c r="U332"/>
  <c r="V332"/>
  <c r="W332"/>
  <c r="X332"/>
  <c r="Z332"/>
  <c r="AA332"/>
  <c r="AB332"/>
  <c r="AE332"/>
  <c r="AF332"/>
  <c r="AN332" s="1"/>
  <c r="AT332"/>
  <c r="J333"/>
  <c r="P333" s="1"/>
  <c r="L333"/>
  <c r="R333"/>
  <c r="S333"/>
  <c r="T333"/>
  <c r="U333"/>
  <c r="V333"/>
  <c r="W333"/>
  <c r="X333"/>
  <c r="Z333"/>
  <c r="AA333"/>
  <c r="AB333"/>
  <c r="AE333"/>
  <c r="H333" s="1"/>
  <c r="AF333"/>
  <c r="AN333" s="1"/>
  <c r="AM333"/>
  <c r="AT333"/>
  <c r="AV333"/>
  <c r="J334"/>
  <c r="P334" s="1"/>
  <c r="L334"/>
  <c r="AV334" s="1"/>
  <c r="R334"/>
  <c r="S334"/>
  <c r="T334"/>
  <c r="U334"/>
  <c r="V334"/>
  <c r="W334"/>
  <c r="X334"/>
  <c r="Z334"/>
  <c r="AA334"/>
  <c r="AB334"/>
  <c r="AE334"/>
  <c r="AF334"/>
  <c r="AN334" s="1"/>
  <c r="AT334"/>
  <c r="J336"/>
  <c r="L336"/>
  <c r="P336"/>
  <c r="R336"/>
  <c r="S336"/>
  <c r="T336"/>
  <c r="U336"/>
  <c r="V336"/>
  <c r="W336"/>
  <c r="X336"/>
  <c r="Z336"/>
  <c r="AA336"/>
  <c r="AB336"/>
  <c r="AE336"/>
  <c r="H336" s="1"/>
  <c r="AF336"/>
  <c r="AN336" s="1"/>
  <c r="AT336"/>
  <c r="AV336"/>
  <c r="J339"/>
  <c r="AB339" s="1"/>
  <c r="AK338" s="1"/>
  <c r="L339"/>
  <c r="AV339" s="1"/>
  <c r="P339"/>
  <c r="T339"/>
  <c r="U339"/>
  <c r="V339"/>
  <c r="W339"/>
  <c r="X339"/>
  <c r="Z339"/>
  <c r="AI338" s="1"/>
  <c r="AA339"/>
  <c r="AJ338" s="1"/>
  <c r="AE339"/>
  <c r="AM339" s="1"/>
  <c r="AF339"/>
  <c r="AN339" s="1"/>
  <c r="AT339"/>
  <c r="AJ341"/>
  <c r="J342"/>
  <c r="L342"/>
  <c r="P342"/>
  <c r="T342"/>
  <c r="U342"/>
  <c r="V342"/>
  <c r="W342"/>
  <c r="X342"/>
  <c r="Z342"/>
  <c r="AI341" s="1"/>
  <c r="AA342"/>
  <c r="AE342"/>
  <c r="AF342"/>
  <c r="AN342" s="1"/>
  <c r="AT342"/>
  <c r="J345"/>
  <c r="I345" s="1"/>
  <c r="L345"/>
  <c r="L344" s="1"/>
  <c r="G64" i="2" s="1"/>
  <c r="P345" i="1"/>
  <c r="R345"/>
  <c r="S345"/>
  <c r="V345"/>
  <c r="W345"/>
  <c r="X345"/>
  <c r="Z345"/>
  <c r="AI344" s="1"/>
  <c r="AA345"/>
  <c r="AJ344" s="1"/>
  <c r="AE345"/>
  <c r="H345" s="1"/>
  <c r="T345" s="1"/>
  <c r="AF345"/>
  <c r="AN345" s="1"/>
  <c r="AM345"/>
  <c r="AT345"/>
  <c r="AV345"/>
  <c r="L347"/>
  <c r="H348"/>
  <c r="R348" s="1"/>
  <c r="J348"/>
  <c r="L348"/>
  <c r="P348"/>
  <c r="T348"/>
  <c r="U348"/>
  <c r="V348"/>
  <c r="W348"/>
  <c r="X348"/>
  <c r="Z348"/>
  <c r="AA348"/>
  <c r="AE348"/>
  <c r="AM348" s="1"/>
  <c r="AS348" s="1"/>
  <c r="AF348"/>
  <c r="AN348" s="1"/>
  <c r="AT348"/>
  <c r="AV348"/>
  <c r="J350"/>
  <c r="AB350" s="1"/>
  <c r="L350"/>
  <c r="AV350" s="1"/>
  <c r="P350"/>
  <c r="T350"/>
  <c r="U350"/>
  <c r="V350"/>
  <c r="W350"/>
  <c r="X350"/>
  <c r="Z350"/>
  <c r="AA350"/>
  <c r="AE350"/>
  <c r="AF350"/>
  <c r="AN350" s="1"/>
  <c r="AT350"/>
  <c r="J351"/>
  <c r="L351"/>
  <c r="P351"/>
  <c r="T351"/>
  <c r="U351"/>
  <c r="V351"/>
  <c r="W351"/>
  <c r="X351"/>
  <c r="Z351"/>
  <c r="AA351"/>
  <c r="AB351"/>
  <c r="AE351"/>
  <c r="H351" s="1"/>
  <c r="AF351"/>
  <c r="AN351" s="1"/>
  <c r="AM351"/>
  <c r="AS351" s="1"/>
  <c r="AT351"/>
  <c r="AV351"/>
  <c r="J352"/>
  <c r="L352"/>
  <c r="AV352" s="1"/>
  <c r="P352"/>
  <c r="T352"/>
  <c r="U352"/>
  <c r="V352"/>
  <c r="W352"/>
  <c r="X352"/>
  <c r="Z352"/>
  <c r="AA352"/>
  <c r="AB352"/>
  <c r="AE352"/>
  <c r="AF352"/>
  <c r="AN352"/>
  <c r="AT352"/>
  <c r="AI353"/>
  <c r="J354"/>
  <c r="L354"/>
  <c r="L353" s="1"/>
  <c r="P354"/>
  <c r="T354"/>
  <c r="U354"/>
  <c r="V354"/>
  <c r="W354"/>
  <c r="X354"/>
  <c r="Z354"/>
  <c r="AA354"/>
  <c r="AJ353" s="1"/>
  <c r="AB354"/>
  <c r="AK353" s="1"/>
  <c r="AE354"/>
  <c r="H354" s="1"/>
  <c r="H353" s="1"/>
  <c r="AF354"/>
  <c r="AN354"/>
  <c r="AT354"/>
  <c r="AV354"/>
  <c r="J357"/>
  <c r="P357" s="1"/>
  <c r="L357"/>
  <c r="R357"/>
  <c r="S357"/>
  <c r="T357"/>
  <c r="U357"/>
  <c r="V357"/>
  <c r="W357"/>
  <c r="X357"/>
  <c r="Z357"/>
  <c r="AA357"/>
  <c r="AB357"/>
  <c r="AE357"/>
  <c r="H357" s="1"/>
  <c r="AF357"/>
  <c r="AN357" s="1"/>
  <c r="AT357"/>
  <c r="AV357"/>
  <c r="J359"/>
  <c r="L359"/>
  <c r="AV359" s="1"/>
  <c r="R359"/>
  <c r="S359"/>
  <c r="T359"/>
  <c r="U359"/>
  <c r="V359"/>
  <c r="W359"/>
  <c r="X359"/>
  <c r="Z359"/>
  <c r="AA359"/>
  <c r="AB359"/>
  <c r="AE359"/>
  <c r="AF359"/>
  <c r="AN359" s="1"/>
  <c r="AT359"/>
  <c r="H361"/>
  <c r="I361" s="1"/>
  <c r="J361"/>
  <c r="L361"/>
  <c r="P361"/>
  <c r="R361"/>
  <c r="S361"/>
  <c r="T361"/>
  <c r="U361"/>
  <c r="V361"/>
  <c r="W361"/>
  <c r="X361"/>
  <c r="Z361"/>
  <c r="AA361"/>
  <c r="AB361"/>
  <c r="AE361"/>
  <c r="AF361"/>
  <c r="AN361" s="1"/>
  <c r="AM361"/>
  <c r="AT361"/>
  <c r="AV361"/>
  <c r="J363"/>
  <c r="L363"/>
  <c r="AV363" s="1"/>
  <c r="R363"/>
  <c r="S363"/>
  <c r="T363"/>
  <c r="U363"/>
  <c r="V363"/>
  <c r="W363"/>
  <c r="X363"/>
  <c r="Z363"/>
  <c r="AA363"/>
  <c r="AE363"/>
  <c r="AF363"/>
  <c r="AN363"/>
  <c r="AT363"/>
  <c r="H365"/>
  <c r="J365"/>
  <c r="I365" s="1"/>
  <c r="L365"/>
  <c r="R365"/>
  <c r="S365"/>
  <c r="T365"/>
  <c r="U365"/>
  <c r="V365"/>
  <c r="W365"/>
  <c r="X365"/>
  <c r="Z365"/>
  <c r="AA365"/>
  <c r="AB365"/>
  <c r="AE365"/>
  <c r="AF365"/>
  <c r="AN365" s="1"/>
  <c r="AM365"/>
  <c r="AS365" s="1"/>
  <c r="AT365"/>
  <c r="AV365"/>
  <c r="J366"/>
  <c r="AB366" s="1"/>
  <c r="L366"/>
  <c r="AV366" s="1"/>
  <c r="R366"/>
  <c r="S366"/>
  <c r="T366"/>
  <c r="U366"/>
  <c r="V366"/>
  <c r="W366"/>
  <c r="X366"/>
  <c r="Z366"/>
  <c r="AA366"/>
  <c r="AE366"/>
  <c r="AF366"/>
  <c r="AN366"/>
  <c r="AT366"/>
  <c r="H367"/>
  <c r="J367"/>
  <c r="P367" s="1"/>
  <c r="L367"/>
  <c r="R367"/>
  <c r="S367"/>
  <c r="T367"/>
  <c r="U367"/>
  <c r="V367"/>
  <c r="W367"/>
  <c r="X367"/>
  <c r="Z367"/>
  <c r="AA367"/>
  <c r="AB367"/>
  <c r="AE367"/>
  <c r="AF367"/>
  <c r="AN367" s="1"/>
  <c r="AM367"/>
  <c r="AT367"/>
  <c r="AV367"/>
  <c r="J369"/>
  <c r="L369"/>
  <c r="AV369" s="1"/>
  <c r="R369"/>
  <c r="S369"/>
  <c r="T369"/>
  <c r="U369"/>
  <c r="V369"/>
  <c r="W369"/>
  <c r="X369"/>
  <c r="Z369"/>
  <c r="AA369"/>
  <c r="AE369"/>
  <c r="AF369"/>
  <c r="AN369" s="1"/>
  <c r="AT369"/>
  <c r="J371"/>
  <c r="L371"/>
  <c r="P371"/>
  <c r="R371"/>
  <c r="S371"/>
  <c r="T371"/>
  <c r="U371"/>
  <c r="V371"/>
  <c r="W371"/>
  <c r="X371"/>
  <c r="Z371"/>
  <c r="AA371"/>
  <c r="AB371"/>
  <c r="AE371"/>
  <c r="H371" s="1"/>
  <c r="I371" s="1"/>
  <c r="AF371"/>
  <c r="AN371" s="1"/>
  <c r="AT371"/>
  <c r="AV371"/>
  <c r="B2" i="2"/>
  <c r="G2"/>
  <c r="B4"/>
  <c r="G4"/>
  <c r="B6"/>
  <c r="G6"/>
  <c r="B8"/>
  <c r="G8"/>
  <c r="I11"/>
  <c r="G12"/>
  <c r="I16"/>
  <c r="I21"/>
  <c r="G22"/>
  <c r="G24"/>
  <c r="G25"/>
  <c r="I27"/>
  <c r="I37"/>
  <c r="I43"/>
  <c r="I47"/>
  <c r="G50"/>
  <c r="G51"/>
  <c r="G54"/>
  <c r="G55"/>
  <c r="G59"/>
  <c r="I61"/>
  <c r="G65"/>
  <c r="G66"/>
  <c r="AK13" i="1"/>
  <c r="I348" l="1"/>
  <c r="AM66"/>
  <c r="AS66" s="1"/>
  <c r="I66"/>
  <c r="U66" s="1"/>
  <c r="I133"/>
  <c r="U133" s="1"/>
  <c r="I128"/>
  <c r="U128" s="1"/>
  <c r="AM205"/>
  <c r="AM203"/>
  <c r="I197"/>
  <c r="U197" s="1"/>
  <c r="AM197"/>
  <c r="AM194"/>
  <c r="AS194" s="1"/>
  <c r="AJ189"/>
  <c r="AM235"/>
  <c r="AS235" s="1"/>
  <c r="I230"/>
  <c r="U230" s="1"/>
  <c r="AM222"/>
  <c r="I222"/>
  <c r="U222" s="1"/>
  <c r="AS221"/>
  <c r="AM219"/>
  <c r="AS219"/>
  <c r="AM216"/>
  <c r="AM258"/>
  <c r="I279"/>
  <c r="AB345"/>
  <c r="AK344" s="1"/>
  <c r="AM288"/>
  <c r="AS288" s="1"/>
  <c r="AM371"/>
  <c r="AS371" s="1"/>
  <c r="I367"/>
  <c r="P365"/>
  <c r="AI356"/>
  <c r="AM357"/>
  <c r="AS357" s="1"/>
  <c r="I357"/>
  <c r="AM354"/>
  <c r="I354"/>
  <c r="I351"/>
  <c r="S351" s="1"/>
  <c r="R351"/>
  <c r="AI347"/>
  <c r="AB348"/>
  <c r="AK347" s="1"/>
  <c r="AS339"/>
  <c r="I336"/>
  <c r="AI322"/>
  <c r="AM336"/>
  <c r="AS336" s="1"/>
  <c r="I333"/>
  <c r="AS331"/>
  <c r="I331"/>
  <c r="I327"/>
  <c r="AK322"/>
  <c r="I323"/>
  <c r="AM323"/>
  <c r="AS323" s="1"/>
  <c r="AI315"/>
  <c r="AJ315"/>
  <c r="AS316"/>
  <c r="I313"/>
  <c r="S313" s="1"/>
  <c r="AI310"/>
  <c r="AK310"/>
  <c r="H311"/>
  <c r="I311" s="1"/>
  <c r="AS309"/>
  <c r="H304"/>
  <c r="T304" s="1"/>
  <c r="I302"/>
  <c r="U302" s="1"/>
  <c r="AS298"/>
  <c r="H298"/>
  <c r="T298" s="1"/>
  <c r="AB298"/>
  <c r="I294"/>
  <c r="U294" s="1"/>
  <c r="AJ292"/>
  <c r="H290"/>
  <c r="I288"/>
  <c r="U288" s="1"/>
  <c r="AI286"/>
  <c r="AJ286"/>
  <c r="AS287"/>
  <c r="H287"/>
  <c r="H286" s="1"/>
  <c r="AB287"/>
  <c r="H285"/>
  <c r="AS283"/>
  <c r="AI281"/>
  <c r="I283"/>
  <c r="S283" s="1"/>
  <c r="AK281"/>
  <c r="H282"/>
  <c r="I282" s="1"/>
  <c r="AS282"/>
  <c r="H278"/>
  <c r="J278" s="1"/>
  <c r="AS277"/>
  <c r="AI269"/>
  <c r="H270"/>
  <c r="I270" s="1"/>
  <c r="AJ269"/>
  <c r="I262"/>
  <c r="S262" s="1"/>
  <c r="R262"/>
  <c r="AS262"/>
  <c r="AS258"/>
  <c r="I235"/>
  <c r="U235" s="1"/>
  <c r="AM232"/>
  <c r="AS232" s="1"/>
  <c r="H231"/>
  <c r="T231" s="1"/>
  <c r="T230"/>
  <c r="T229"/>
  <c r="I229"/>
  <c r="U229" s="1"/>
  <c r="H227"/>
  <c r="I226"/>
  <c r="U226" s="1"/>
  <c r="AM224"/>
  <c r="AS224" s="1"/>
  <c r="I224"/>
  <c r="U224" s="1"/>
  <c r="H223"/>
  <c r="I223" s="1"/>
  <c r="U223" s="1"/>
  <c r="H221"/>
  <c r="I219"/>
  <c r="U219" s="1"/>
  <c r="I218"/>
  <c r="U218" s="1"/>
  <c r="I216"/>
  <c r="U216" s="1"/>
  <c r="AS216"/>
  <c r="H255"/>
  <c r="I255" s="1"/>
  <c r="AB253"/>
  <c r="I253"/>
  <c r="AM253"/>
  <c r="AS253" s="1"/>
  <c r="AM244"/>
  <c r="AS244" s="1"/>
  <c r="AI239"/>
  <c r="I238"/>
  <c r="S238" s="1"/>
  <c r="H237"/>
  <c r="AS213"/>
  <c r="AJ207"/>
  <c r="H211"/>
  <c r="AS208"/>
  <c r="AI207"/>
  <c r="AB208"/>
  <c r="AK207" s="1"/>
  <c r="AS206"/>
  <c r="H206"/>
  <c r="T206" s="1"/>
  <c r="I206"/>
  <c r="U206" s="1"/>
  <c r="I205"/>
  <c r="U205" s="1"/>
  <c r="H204"/>
  <c r="T204" s="1"/>
  <c r="AJ198"/>
  <c r="AM199"/>
  <c r="I199"/>
  <c r="U199" s="1"/>
  <c r="AI192"/>
  <c r="I196"/>
  <c r="U196" s="1"/>
  <c r="AS196"/>
  <c r="AJ192"/>
  <c r="I193"/>
  <c r="AS191"/>
  <c r="AK189"/>
  <c r="H187"/>
  <c r="I187" s="1"/>
  <c r="H183"/>
  <c r="I183" s="1"/>
  <c r="AM182"/>
  <c r="AS182" s="1"/>
  <c r="I181"/>
  <c r="AJ171"/>
  <c r="I172"/>
  <c r="H167"/>
  <c r="I164"/>
  <c r="S164" s="1"/>
  <c r="R164"/>
  <c r="AK161"/>
  <c r="I162"/>
  <c r="S162" s="1"/>
  <c r="AJ154"/>
  <c r="AI154"/>
  <c r="AM153"/>
  <c r="AS153" s="1"/>
  <c r="AB153"/>
  <c r="I153"/>
  <c r="AJ145"/>
  <c r="AI145"/>
  <c r="AM146"/>
  <c r="AS146" s="1"/>
  <c r="AK145"/>
  <c r="AM144"/>
  <c r="AJ136"/>
  <c r="I139"/>
  <c r="U139" s="1"/>
  <c r="H137"/>
  <c r="I137"/>
  <c r="AM134"/>
  <c r="AS134" s="1"/>
  <c r="AI127"/>
  <c r="AJ127"/>
  <c r="H124"/>
  <c r="I124" s="1"/>
  <c r="AK118"/>
  <c r="I114"/>
  <c r="H106"/>
  <c r="AJ103"/>
  <c r="AS95"/>
  <c r="AM93"/>
  <c r="AS93" s="1"/>
  <c r="I91"/>
  <c r="S91" s="1"/>
  <c r="AI88"/>
  <c r="AK88"/>
  <c r="I86"/>
  <c r="U86" s="1"/>
  <c r="AI74"/>
  <c r="H75"/>
  <c r="I70"/>
  <c r="U70" s="1"/>
  <c r="AB70"/>
  <c r="AM70"/>
  <c r="AS70" s="1"/>
  <c r="H68"/>
  <c r="AB66"/>
  <c r="AM65"/>
  <c r="AS65" s="1"/>
  <c r="H64"/>
  <c r="AB63"/>
  <c r="AM63"/>
  <c r="AS63" s="1"/>
  <c r="AI61"/>
  <c r="H58"/>
  <c r="R59"/>
  <c r="AB59"/>
  <c r="AK58" s="1"/>
  <c r="AM59"/>
  <c r="AS59" s="1"/>
  <c r="H54"/>
  <c r="I54" s="1"/>
  <c r="AM53"/>
  <c r="AS53" s="1"/>
  <c r="AS50"/>
  <c r="I46"/>
  <c r="S46" s="1"/>
  <c r="AI42"/>
  <c r="AK42"/>
  <c r="AJ42"/>
  <c r="AK34"/>
  <c r="AJ34"/>
  <c r="C28" i="3"/>
  <c r="F28" s="1"/>
  <c r="I35" i="1"/>
  <c r="AS29"/>
  <c r="I27"/>
  <c r="S27" s="1"/>
  <c r="AM27"/>
  <c r="AJ21"/>
  <c r="I24"/>
  <c r="S24" s="1"/>
  <c r="AI21"/>
  <c r="I22"/>
  <c r="AB22"/>
  <c r="AM22"/>
  <c r="AS22" s="1"/>
  <c r="AI16"/>
  <c r="I17"/>
  <c r="AB17"/>
  <c r="AM17"/>
  <c r="AS17" s="1"/>
  <c r="I353"/>
  <c r="E66" i="2" s="1"/>
  <c r="S354" i="1"/>
  <c r="D66" i="2"/>
  <c r="U345" i="1"/>
  <c r="I344"/>
  <c r="E64" i="2" s="1"/>
  <c r="H369" i="1"/>
  <c r="I369" s="1"/>
  <c r="AM369"/>
  <c r="AS369" s="1"/>
  <c r="P369"/>
  <c r="H342"/>
  <c r="I342" s="1"/>
  <c r="AM342"/>
  <c r="AS342" s="1"/>
  <c r="H339"/>
  <c r="H334"/>
  <c r="AM334"/>
  <c r="AS334" s="1"/>
  <c r="AV317"/>
  <c r="L315"/>
  <c r="G58" i="2" s="1"/>
  <c r="L306" i="1"/>
  <c r="G56" i="2" s="1"/>
  <c r="AV307" i="1"/>
  <c r="P251"/>
  <c r="AB251"/>
  <c r="H233"/>
  <c r="AM233"/>
  <c r="AS233" s="1"/>
  <c r="H225"/>
  <c r="AM225"/>
  <c r="AS225" s="1"/>
  <c r="AI215"/>
  <c r="H217"/>
  <c r="AM217"/>
  <c r="AS217" s="1"/>
  <c r="AV213"/>
  <c r="L212"/>
  <c r="G42" i="2" s="1"/>
  <c r="H195" i="1"/>
  <c r="T195" s="1"/>
  <c r="AM195"/>
  <c r="AS195" s="1"/>
  <c r="T194"/>
  <c r="I194"/>
  <c r="U194" s="1"/>
  <c r="H178"/>
  <c r="I178" s="1"/>
  <c r="AM178"/>
  <c r="AS178" s="1"/>
  <c r="AI171"/>
  <c r="I161"/>
  <c r="E34" i="2" s="1"/>
  <c r="AM150" i="1"/>
  <c r="AS150" s="1"/>
  <c r="H150"/>
  <c r="H145" s="1"/>
  <c r="T146"/>
  <c r="I146"/>
  <c r="AM72"/>
  <c r="AS72" s="1"/>
  <c r="H72"/>
  <c r="I48"/>
  <c r="AB369"/>
  <c r="H366"/>
  <c r="I366" s="1"/>
  <c r="AM366"/>
  <c r="AS366" s="1"/>
  <c r="P366"/>
  <c r="AS361"/>
  <c r="L356"/>
  <c r="G67" i="2" s="1"/>
  <c r="S348" i="1"/>
  <c r="AS345"/>
  <c r="AB342"/>
  <c r="AK341" s="1"/>
  <c r="H332"/>
  <c r="I332" s="1"/>
  <c r="AM332"/>
  <c r="AS332" s="1"/>
  <c r="AS321"/>
  <c r="I317"/>
  <c r="S317" s="1"/>
  <c r="AS311"/>
  <c r="R311"/>
  <c r="H307"/>
  <c r="I307" s="1"/>
  <c r="AM307"/>
  <c r="AS307" s="1"/>
  <c r="AS294"/>
  <c r="AI292"/>
  <c r="H251"/>
  <c r="I251" s="1"/>
  <c r="AM251"/>
  <c r="AS251" s="1"/>
  <c r="AS240"/>
  <c r="L239"/>
  <c r="G46" i="2" s="1"/>
  <c r="AS231" i="1"/>
  <c r="H228"/>
  <c r="T228" s="1"/>
  <c r="AM228"/>
  <c r="AS228" s="1"/>
  <c r="AS223"/>
  <c r="H220"/>
  <c r="T220" s="1"/>
  <c r="AM220"/>
  <c r="AS220" s="1"/>
  <c r="AI198"/>
  <c r="AS197"/>
  <c r="L192"/>
  <c r="G39" i="2" s="1"/>
  <c r="AV193" i="1"/>
  <c r="AS183"/>
  <c r="P177"/>
  <c r="I177"/>
  <c r="AB177"/>
  <c r="AS175"/>
  <c r="P144"/>
  <c r="I144"/>
  <c r="AB144"/>
  <c r="I58"/>
  <c r="S59"/>
  <c r="D22" i="2"/>
  <c r="L47" i="1"/>
  <c r="G20" i="2" s="1"/>
  <c r="H363" i="1"/>
  <c r="I363" s="1"/>
  <c r="AM363"/>
  <c r="AS363" s="1"/>
  <c r="P363"/>
  <c r="AJ356"/>
  <c r="AS354"/>
  <c r="R354"/>
  <c r="AJ347"/>
  <c r="L338"/>
  <c r="H329"/>
  <c r="I329" s="1"/>
  <c r="AM329"/>
  <c r="AS329" s="1"/>
  <c r="L322"/>
  <c r="G60" i="2" s="1"/>
  <c r="AV325" i="1"/>
  <c r="AJ322"/>
  <c r="H317"/>
  <c r="AM317"/>
  <c r="AS317" s="1"/>
  <c r="AS313"/>
  <c r="AS304"/>
  <c r="I304"/>
  <c r="U304" s="1"/>
  <c r="AB302"/>
  <c r="AS293"/>
  <c r="AB288"/>
  <c r="AK286" s="1"/>
  <c r="I278"/>
  <c r="E50" i="2" s="1"/>
  <c r="S279" i="1"/>
  <c r="AS270"/>
  <c r="H269"/>
  <c r="AS268"/>
  <c r="H260"/>
  <c r="R260" s="1"/>
  <c r="AM260"/>
  <c r="AS260" s="1"/>
  <c r="R258"/>
  <c r="AS255"/>
  <c r="AK236"/>
  <c r="H236"/>
  <c r="R237"/>
  <c r="I231"/>
  <c r="U231" s="1"/>
  <c r="AS230"/>
  <c r="T223"/>
  <c r="AS222"/>
  <c r="AS211"/>
  <c r="U208"/>
  <c r="AS203"/>
  <c r="I203"/>
  <c r="U203" s="1"/>
  <c r="AS200"/>
  <c r="AB195"/>
  <c r="U193"/>
  <c r="AB155"/>
  <c r="AK154" s="1"/>
  <c r="I155"/>
  <c r="AB134"/>
  <c r="I134"/>
  <c r="U134" s="1"/>
  <c r="AS367"/>
  <c r="AB363"/>
  <c r="AK356" s="1"/>
  <c r="H359"/>
  <c r="I359" s="1"/>
  <c r="AM359"/>
  <c r="AS359" s="1"/>
  <c r="P359"/>
  <c r="H352"/>
  <c r="R352" s="1"/>
  <c r="AM352"/>
  <c r="AS352" s="1"/>
  <c r="H350"/>
  <c r="AM350"/>
  <c r="AS350" s="1"/>
  <c r="I350"/>
  <c r="S350" s="1"/>
  <c r="H344"/>
  <c r="L341"/>
  <c r="G63" i="2" s="1"/>
  <c r="AV342" i="1"/>
  <c r="AS333"/>
  <c r="H325"/>
  <c r="AM325"/>
  <c r="AS325" s="1"/>
  <c r="P321"/>
  <c r="I321"/>
  <c r="I320" s="1"/>
  <c r="E59" i="2" s="1"/>
  <c r="S316" i="1"/>
  <c r="I293"/>
  <c r="AS279"/>
  <c r="H265"/>
  <c r="R265" s="1"/>
  <c r="AM265"/>
  <c r="AS265" s="1"/>
  <c r="AJ257"/>
  <c r="L257"/>
  <c r="H246"/>
  <c r="I246" s="1"/>
  <c r="AM246"/>
  <c r="AS246" s="1"/>
  <c r="I240"/>
  <c r="I228"/>
  <c r="U228" s="1"/>
  <c r="AB228"/>
  <c r="I220"/>
  <c r="U220" s="1"/>
  <c r="AB220"/>
  <c r="AJ215"/>
  <c r="I211"/>
  <c r="U211" s="1"/>
  <c r="T211"/>
  <c r="H207"/>
  <c r="AS204"/>
  <c r="L171"/>
  <c r="G36" i="2" s="1"/>
  <c r="L145" i="1"/>
  <c r="G32" i="2" s="1"/>
  <c r="AV150" i="1"/>
  <c r="H135"/>
  <c r="AM135"/>
  <c r="AS135" s="1"/>
  <c r="I106"/>
  <c r="P106"/>
  <c r="AB106"/>
  <c r="AB38"/>
  <c r="AK37" s="1"/>
  <c r="AI257"/>
  <c r="AS238"/>
  <c r="H166"/>
  <c r="R167"/>
  <c r="AS162"/>
  <c r="AM108"/>
  <c r="AS108" s="1"/>
  <c r="H108"/>
  <c r="I108" s="1"/>
  <c r="I75"/>
  <c r="AB75"/>
  <c r="AK74" s="1"/>
  <c r="P56"/>
  <c r="I56"/>
  <c r="AB56"/>
  <c r="AI47"/>
  <c r="S35"/>
  <c r="C19" i="3"/>
  <c r="H19" i="1"/>
  <c r="R19" s="1"/>
  <c r="AM19"/>
  <c r="AS19" s="1"/>
  <c r="S17"/>
  <c r="L215"/>
  <c r="AJ161"/>
  <c r="P113"/>
  <c r="I109"/>
  <c r="P109"/>
  <c r="I334"/>
  <c r="I325"/>
  <c r="I258"/>
  <c r="AB248"/>
  <c r="I248"/>
  <c r="AI236"/>
  <c r="AB234"/>
  <c r="AB226"/>
  <c r="AB218"/>
  <c r="H213"/>
  <c r="L207"/>
  <c r="G41" i="2" s="1"/>
  <c r="I200" i="1"/>
  <c r="U200" s="1"/>
  <c r="AB199"/>
  <c r="L198"/>
  <c r="G40" i="2" s="1"/>
  <c r="AB193" i="1"/>
  <c r="AI189"/>
  <c r="H180"/>
  <c r="I180" s="1"/>
  <c r="AM180"/>
  <c r="AS180" s="1"/>
  <c r="AS148"/>
  <c r="AM141"/>
  <c r="AS141" s="1"/>
  <c r="H141"/>
  <c r="T141" s="1"/>
  <c r="I141"/>
  <c r="U141" s="1"/>
  <c r="T137"/>
  <c r="H123"/>
  <c r="T124"/>
  <c r="H121"/>
  <c r="AM121"/>
  <c r="AS121" s="1"/>
  <c r="AB113"/>
  <c r="AB109"/>
  <c r="L103"/>
  <c r="G26" i="2" s="1"/>
  <c r="H102" i="1"/>
  <c r="AM102"/>
  <c r="AS102" s="1"/>
  <c r="H74"/>
  <c r="T75"/>
  <c r="AS68"/>
  <c r="AM62"/>
  <c r="AS62" s="1"/>
  <c r="H62"/>
  <c r="L61"/>
  <c r="G23" i="2" s="1"/>
  <c r="AV62" i="1"/>
  <c r="H38"/>
  <c r="I38" s="1"/>
  <c r="AM38"/>
  <c r="AS38" s="1"/>
  <c r="I213"/>
  <c r="AS205"/>
  <c r="AS185"/>
  <c r="I136"/>
  <c r="E31" i="2" s="1"/>
  <c r="U137" i="1"/>
  <c r="H130"/>
  <c r="T130" s="1"/>
  <c r="AM130"/>
  <c r="AS130" s="1"/>
  <c r="C27" i="3"/>
  <c r="D59" i="2"/>
  <c r="AB258" i="1"/>
  <c r="AK257" s="1"/>
  <c r="AM248"/>
  <c r="AS248" s="1"/>
  <c r="AB244"/>
  <c r="AK239" s="1"/>
  <c r="I244"/>
  <c r="AJ239"/>
  <c r="I237"/>
  <c r="L236"/>
  <c r="G45" i="2" s="1"/>
  <c r="AM234" i="1"/>
  <c r="AS234" s="1"/>
  <c r="AB232"/>
  <c r="AM226"/>
  <c r="AS226" s="1"/>
  <c r="AB224"/>
  <c r="AM218"/>
  <c r="AS218" s="1"/>
  <c r="AB216"/>
  <c r="I204"/>
  <c r="U204" s="1"/>
  <c r="AB203"/>
  <c r="H200"/>
  <c r="AS199"/>
  <c r="AM193"/>
  <c r="AS193" s="1"/>
  <c r="H191"/>
  <c r="T191" s="1"/>
  <c r="AM190"/>
  <c r="AS190" s="1"/>
  <c r="H190"/>
  <c r="L189"/>
  <c r="AB180"/>
  <c r="AM177"/>
  <c r="AS177" s="1"/>
  <c r="H175"/>
  <c r="AS172"/>
  <c r="AV167"/>
  <c r="L166"/>
  <c r="G35" i="2" s="1"/>
  <c r="H161" i="1"/>
  <c r="AM160"/>
  <c r="AS160" s="1"/>
  <c r="H160"/>
  <c r="I160"/>
  <c r="U160" s="1"/>
  <c r="AB137"/>
  <c r="AK136" s="1"/>
  <c r="L136"/>
  <c r="G31" i="2" s="1"/>
  <c r="H131" i="1"/>
  <c r="AM131"/>
  <c r="AS131" s="1"/>
  <c r="I130"/>
  <c r="U130" s="1"/>
  <c r="AB130"/>
  <c r="AK127" s="1"/>
  <c r="AM129"/>
  <c r="AS129" s="1"/>
  <c r="H129"/>
  <c r="AB124"/>
  <c r="AK123" s="1"/>
  <c r="AM111"/>
  <c r="AS111" s="1"/>
  <c r="H111"/>
  <c r="I111" s="1"/>
  <c r="P111"/>
  <c r="AI103"/>
  <c r="H69"/>
  <c r="AM69"/>
  <c r="AS69" s="1"/>
  <c r="I167"/>
  <c r="AS155"/>
  <c r="AS144"/>
  <c r="AS139"/>
  <c r="AI136"/>
  <c r="L118"/>
  <c r="AV119"/>
  <c r="AM116"/>
  <c r="AS116" s="1"/>
  <c r="H116"/>
  <c r="AM104"/>
  <c r="AS104" s="1"/>
  <c r="H104"/>
  <c r="I104" s="1"/>
  <c r="P104"/>
  <c r="S89"/>
  <c r="AB67"/>
  <c r="I64"/>
  <c r="U64" s="1"/>
  <c r="T64"/>
  <c r="P31"/>
  <c r="AB31"/>
  <c r="AK30" s="1"/>
  <c r="H16"/>
  <c r="H14"/>
  <c r="AM14"/>
  <c r="AS14" s="1"/>
  <c r="L161"/>
  <c r="G34" i="2" s="1"/>
  <c r="H132" i="1"/>
  <c r="AM132"/>
  <c r="AS132" s="1"/>
  <c r="AS128"/>
  <c r="H119"/>
  <c r="AM119"/>
  <c r="AS119" s="1"/>
  <c r="I119"/>
  <c r="I116"/>
  <c r="AM113"/>
  <c r="AS113" s="1"/>
  <c r="H113"/>
  <c r="I113" s="1"/>
  <c r="I112"/>
  <c r="AB104"/>
  <c r="I93"/>
  <c r="S93" s="1"/>
  <c r="R93"/>
  <c r="AS91"/>
  <c r="AJ88"/>
  <c r="H88"/>
  <c r="H73"/>
  <c r="T73" s="1"/>
  <c r="AM73"/>
  <c r="AS73" s="1"/>
  <c r="T68"/>
  <c r="I68"/>
  <c r="U68" s="1"/>
  <c r="H67"/>
  <c r="T67" s="1"/>
  <c r="AM67"/>
  <c r="AS67" s="1"/>
  <c r="L57"/>
  <c r="G21" i="2" s="1"/>
  <c r="H52" i="1"/>
  <c r="I52" s="1"/>
  <c r="AM52"/>
  <c r="AS52" s="1"/>
  <c r="H31"/>
  <c r="H30" s="1"/>
  <c r="AM31"/>
  <c r="AS31" s="1"/>
  <c r="S22"/>
  <c r="H29"/>
  <c r="R29" s="1"/>
  <c r="AS27"/>
  <c r="H23"/>
  <c r="I23" s="1"/>
  <c r="S23" s="1"/>
  <c r="AV19"/>
  <c r="L16"/>
  <c r="G13" i="2" s="1"/>
  <c r="AS114" i="1"/>
  <c r="AS112"/>
  <c r="AS109"/>
  <c r="AS106"/>
  <c r="AS86"/>
  <c r="AS71"/>
  <c r="I65"/>
  <c r="U65" s="1"/>
  <c r="AB65"/>
  <c r="AS46"/>
  <c r="AS36"/>
  <c r="H36"/>
  <c r="I36" s="1"/>
  <c r="AS35"/>
  <c r="I19"/>
  <c r="S19" s="1"/>
  <c r="AB19"/>
  <c r="AK16" s="1"/>
  <c r="AB73"/>
  <c r="AJ61"/>
  <c r="AB50"/>
  <c r="AK47" s="1"/>
  <c r="I50"/>
  <c r="AJ47"/>
  <c r="H43"/>
  <c r="I43" s="1"/>
  <c r="T40"/>
  <c r="I40"/>
  <c r="U40" s="1"/>
  <c r="L37"/>
  <c r="G18" i="2" s="1"/>
  <c r="AV38" i="1"/>
  <c r="L30"/>
  <c r="G15" i="2" s="1"/>
  <c r="AV31" i="1"/>
  <c r="AV23"/>
  <c r="L21"/>
  <c r="G14" i="2" s="1"/>
  <c r="C18" i="3"/>
  <c r="AV36" i="1"/>
  <c r="L34"/>
  <c r="H26"/>
  <c r="R26" s="1"/>
  <c r="AS24"/>
  <c r="AK21"/>
  <c r="C20" i="3"/>
  <c r="D50" i="2" l="1"/>
  <c r="F50" s="1"/>
  <c r="I50" s="1"/>
  <c r="I356" i="1"/>
  <c r="E67" i="2" s="1"/>
  <c r="F66"/>
  <c r="I66" s="1"/>
  <c r="J353" i="1"/>
  <c r="I322"/>
  <c r="E60" i="2" s="1"/>
  <c r="I310" i="1"/>
  <c r="E57" i="2" s="1"/>
  <c r="S311" i="1"/>
  <c r="H310"/>
  <c r="AK292"/>
  <c r="H292"/>
  <c r="D55" i="2" s="1"/>
  <c r="I298" i="1"/>
  <c r="U298" s="1"/>
  <c r="T290"/>
  <c r="I290"/>
  <c r="H289"/>
  <c r="T287"/>
  <c r="I287"/>
  <c r="T285"/>
  <c r="H284"/>
  <c r="D52" i="2" s="1"/>
  <c r="I285" i="1"/>
  <c r="R282"/>
  <c r="H281"/>
  <c r="D51" i="2" s="1"/>
  <c r="I269" i="1"/>
  <c r="E49" i="2" s="1"/>
  <c r="S270" i="1"/>
  <c r="R270"/>
  <c r="T227"/>
  <c r="I227"/>
  <c r="U227" s="1"/>
  <c r="AK215"/>
  <c r="T221"/>
  <c r="I221"/>
  <c r="U221" s="1"/>
  <c r="I198"/>
  <c r="E40" i="2" s="1"/>
  <c r="H192" i="1"/>
  <c r="D39" i="2" s="1"/>
  <c r="AK192" i="1"/>
  <c r="AK171"/>
  <c r="H136"/>
  <c r="D31" i="2" s="1"/>
  <c r="F31" s="1"/>
  <c r="I31" s="1"/>
  <c r="I123" i="1"/>
  <c r="E29" i="2" s="1"/>
  <c r="U124" i="1"/>
  <c r="C21" i="3"/>
  <c r="I73" i="1"/>
  <c r="U73" s="1"/>
  <c r="S36"/>
  <c r="I34"/>
  <c r="I103"/>
  <c r="E26" i="2" s="1"/>
  <c r="D32"/>
  <c r="U307" i="1"/>
  <c r="I306"/>
  <c r="E56" i="2" s="1"/>
  <c r="L12" i="1"/>
  <c r="G11" i="2" s="1"/>
  <c r="R23" i="1"/>
  <c r="H21"/>
  <c r="D25" i="2"/>
  <c r="R119" i="1"/>
  <c r="H118"/>
  <c r="I67"/>
  <c r="U67" s="1"/>
  <c r="I131"/>
  <c r="U131" s="1"/>
  <c r="T131"/>
  <c r="H154"/>
  <c r="T160"/>
  <c r="T200"/>
  <c r="H198"/>
  <c r="F59" i="2"/>
  <c r="I59" s="1"/>
  <c r="H37" i="1"/>
  <c r="T38"/>
  <c r="J123"/>
  <c r="D29" i="2"/>
  <c r="F29" s="1"/>
  <c r="I29" s="1"/>
  <c r="H212" i="1"/>
  <c r="R213"/>
  <c r="I135"/>
  <c r="U135" s="1"/>
  <c r="T135"/>
  <c r="I292"/>
  <c r="H356"/>
  <c r="I265"/>
  <c r="S265" s="1"/>
  <c r="L337"/>
  <c r="G61" i="2" s="1"/>
  <c r="G62"/>
  <c r="E22"/>
  <c r="F22" s="1"/>
  <c r="I22" s="1"/>
  <c r="J320" i="1"/>
  <c r="I72"/>
  <c r="U72" s="1"/>
  <c r="T72"/>
  <c r="I233"/>
  <c r="U233" s="1"/>
  <c r="T233"/>
  <c r="H341"/>
  <c r="R342"/>
  <c r="I42"/>
  <c r="E19" i="2" s="1"/>
  <c r="S43" i="1"/>
  <c r="D13" i="2"/>
  <c r="L117" i="1"/>
  <c r="G27" i="2" s="1"/>
  <c r="G28"/>
  <c r="I129" i="1"/>
  <c r="H127"/>
  <c r="T129"/>
  <c r="H189"/>
  <c r="T190"/>
  <c r="D24" i="2"/>
  <c r="S258" i="1"/>
  <c r="I16"/>
  <c r="E13" i="2" s="1"/>
  <c r="U38" i="1"/>
  <c r="I37"/>
  <c r="E18" i="2" s="1"/>
  <c r="I239" i="1"/>
  <c r="E46" i="2" s="1"/>
  <c r="I207" i="1"/>
  <c r="E41" i="2" s="1"/>
  <c r="J269" i="1"/>
  <c r="D49" i="2"/>
  <c r="F49" s="1"/>
  <c r="I49" s="1"/>
  <c r="I47" i="1"/>
  <c r="E20" i="2" s="1"/>
  <c r="H215" i="1"/>
  <c r="I217"/>
  <c r="T217"/>
  <c r="AK61"/>
  <c r="H103"/>
  <c r="I166"/>
  <c r="E35" i="2" s="1"/>
  <c r="S167" i="1"/>
  <c r="I102"/>
  <c r="R102"/>
  <c r="AK198"/>
  <c r="L214"/>
  <c r="G43" i="2" s="1"/>
  <c r="G44"/>
  <c r="D41"/>
  <c r="F41" s="1"/>
  <c r="I41" s="1"/>
  <c r="J207" i="1"/>
  <c r="R350"/>
  <c r="H347"/>
  <c r="U155"/>
  <c r="I154"/>
  <c r="E33" i="2" s="1"/>
  <c r="D45"/>
  <c r="J236" i="1"/>
  <c r="H257"/>
  <c r="R317"/>
  <c r="H315"/>
  <c r="D57" i="2"/>
  <c r="F57" s="1"/>
  <c r="I57" s="1"/>
  <c r="C29" i="3"/>
  <c r="I150" i="1"/>
  <c r="U150" s="1"/>
  <c r="T150"/>
  <c r="H338"/>
  <c r="I339"/>
  <c r="R339"/>
  <c r="I29"/>
  <c r="S29" s="1"/>
  <c r="T132"/>
  <c r="I132"/>
  <c r="U132" s="1"/>
  <c r="T69"/>
  <c r="I69"/>
  <c r="U69" s="1"/>
  <c r="I62"/>
  <c r="T62"/>
  <c r="H61"/>
  <c r="D35" i="2"/>
  <c r="I281" i="1"/>
  <c r="E51" i="2" s="1"/>
  <c r="S282" i="1"/>
  <c r="I190"/>
  <c r="H306"/>
  <c r="T307"/>
  <c r="I347"/>
  <c r="E65" i="2" s="1"/>
  <c r="H42" i="1"/>
  <c r="R43"/>
  <c r="R36"/>
  <c r="H34"/>
  <c r="I26"/>
  <c r="S26" s="1"/>
  <c r="D15" i="2"/>
  <c r="AK103" i="1"/>
  <c r="L33"/>
  <c r="G16" i="2" s="1"/>
  <c r="G17"/>
  <c r="S119" i="1"/>
  <c r="R14"/>
  <c r="I14"/>
  <c r="H13"/>
  <c r="I31"/>
  <c r="I30" s="1"/>
  <c r="E15" i="2" s="1"/>
  <c r="F15" s="1"/>
  <c r="I15" s="1"/>
  <c r="J161" i="1"/>
  <c r="D34" i="2"/>
  <c r="F34" s="1"/>
  <c r="I34" s="1"/>
  <c r="I175" i="1"/>
  <c r="I171" s="1"/>
  <c r="E36" i="2" s="1"/>
  <c r="H171" i="1"/>
  <c r="L188"/>
  <c r="G37" i="2" s="1"/>
  <c r="G38"/>
  <c r="I236" i="1"/>
  <c r="E45" i="2" s="1"/>
  <c r="S237" i="1"/>
  <c r="I212"/>
  <c r="E42" i="2" s="1"/>
  <c r="S213" i="1"/>
  <c r="I121"/>
  <c r="S121" s="1"/>
  <c r="R121"/>
  <c r="J136"/>
  <c r="I191"/>
  <c r="U191" s="1"/>
  <c r="I74"/>
  <c r="E24" i="2" s="1"/>
  <c r="U75" i="1"/>
  <c r="H239"/>
  <c r="G48" i="2"/>
  <c r="L256" i="1"/>
  <c r="G47" i="2" s="1"/>
  <c r="I315" i="1"/>
  <c r="E58" i="2" s="1"/>
  <c r="H322" i="1"/>
  <c r="J344"/>
  <c r="D64" i="2"/>
  <c r="F64" s="1"/>
  <c r="I64" s="1"/>
  <c r="I352" i="1"/>
  <c r="S352" s="1"/>
  <c r="I195"/>
  <c r="J58"/>
  <c r="I260"/>
  <c r="S260" s="1"/>
  <c r="D53" i="2"/>
  <c r="H47" i="1"/>
  <c r="U146"/>
  <c r="I225"/>
  <c r="U225" s="1"/>
  <c r="T225"/>
  <c r="S342"/>
  <c r="I341"/>
  <c r="E63" i="2" s="1"/>
  <c r="J310" i="1" l="1"/>
  <c r="D54" i="2"/>
  <c r="U290" i="1"/>
  <c r="I289"/>
  <c r="E54" i="2" s="1"/>
  <c r="I286" i="1"/>
  <c r="U287"/>
  <c r="I284"/>
  <c r="U285"/>
  <c r="F51" i="2"/>
  <c r="I51" s="1"/>
  <c r="I257" i="1"/>
  <c r="E48" i="2" s="1"/>
  <c r="J166" i="1"/>
  <c r="F35" i="2"/>
  <c r="I35" s="1"/>
  <c r="J16" i="1"/>
  <c r="J347"/>
  <c r="D65" i="2"/>
  <c r="F65" s="1"/>
  <c r="I65" s="1"/>
  <c r="S102" i="1"/>
  <c r="I88"/>
  <c r="I21"/>
  <c r="E14" i="2" s="1"/>
  <c r="U217" i="1"/>
  <c r="I215"/>
  <c r="J215" s="1"/>
  <c r="U129"/>
  <c r="I127"/>
  <c r="E30" i="2" s="1"/>
  <c r="J341" i="1"/>
  <c r="D63" i="2"/>
  <c r="J356" i="1"/>
  <c r="D67" i="2"/>
  <c r="F67" s="1"/>
  <c r="I67" s="1"/>
  <c r="C16" i="3"/>
  <c r="F63" i="2"/>
  <c r="I63" s="1"/>
  <c r="H12" i="1"/>
  <c r="D12" i="2"/>
  <c r="I118" i="1"/>
  <c r="J118" s="1"/>
  <c r="J315"/>
  <c r="D58" i="2"/>
  <c r="F58" s="1"/>
  <c r="I58" s="1"/>
  <c r="F45"/>
  <c r="I45" s="1"/>
  <c r="D44"/>
  <c r="H214" i="1"/>
  <c r="H188"/>
  <c r="D38" i="2"/>
  <c r="E55"/>
  <c r="F55" s="1"/>
  <c r="I55" s="1"/>
  <c r="J292" i="1"/>
  <c r="J212"/>
  <c r="D42" i="2"/>
  <c r="F42" s="1"/>
  <c r="I42" s="1"/>
  <c r="J37" i="1"/>
  <c r="D18" i="2"/>
  <c r="F18" s="1"/>
  <c r="I18" s="1"/>
  <c r="I145" i="1"/>
  <c r="J281"/>
  <c r="D46" i="2"/>
  <c r="F46" s="1"/>
  <c r="I46" s="1"/>
  <c r="J239" i="1"/>
  <c r="I13"/>
  <c r="S14"/>
  <c r="J30"/>
  <c r="J306"/>
  <c r="D56" i="2"/>
  <c r="F56" s="1"/>
  <c r="I56" s="1"/>
  <c r="I61" i="1"/>
  <c r="J61" s="1"/>
  <c r="U62"/>
  <c r="I338"/>
  <c r="S339"/>
  <c r="F29" i="3"/>
  <c r="I28"/>
  <c r="F24" i="2"/>
  <c r="I24" s="1"/>
  <c r="J154" i="1"/>
  <c r="D33" i="2"/>
  <c r="F33" s="1"/>
  <c r="I33" s="1"/>
  <c r="H117" i="1"/>
  <c r="D28" i="2"/>
  <c r="D14"/>
  <c r="I33" i="1"/>
  <c r="E16" i="2" s="1"/>
  <c r="E17"/>
  <c r="U195" i="1"/>
  <c r="I192"/>
  <c r="D60" i="2"/>
  <c r="F60" s="1"/>
  <c r="I60" s="1"/>
  <c r="J322" i="1"/>
  <c r="D36" i="2"/>
  <c r="F36" s="1"/>
  <c r="I36" s="1"/>
  <c r="J171" i="1"/>
  <c r="J34"/>
  <c r="H33"/>
  <c r="D17" i="2"/>
  <c r="F17" s="1"/>
  <c r="I17" s="1"/>
  <c r="D23"/>
  <c r="H57" i="1"/>
  <c r="J47"/>
  <c r="D20" i="2"/>
  <c r="F20" s="1"/>
  <c r="I20" s="1"/>
  <c r="C14" i="3"/>
  <c r="J42" i="1"/>
  <c r="D19" i="2"/>
  <c r="F19" s="1"/>
  <c r="I19" s="1"/>
  <c r="U190" i="1"/>
  <c r="C17" i="3" s="1"/>
  <c r="I189" i="1"/>
  <c r="H337"/>
  <c r="D62" i="2"/>
  <c r="J338" i="1"/>
  <c r="H256"/>
  <c r="J257"/>
  <c r="D48" i="2"/>
  <c r="J103" i="1"/>
  <c r="D26" i="2"/>
  <c r="F26" s="1"/>
  <c r="I26" s="1"/>
  <c r="J74" i="1"/>
  <c r="D30" i="2"/>
  <c r="F13"/>
  <c r="I13" s="1"/>
  <c r="J198" i="1"/>
  <c r="D40" i="2"/>
  <c r="F40" s="1"/>
  <c r="I40" s="1"/>
  <c r="F48" l="1"/>
  <c r="I48" s="1"/>
  <c r="F54"/>
  <c r="I54" s="1"/>
  <c r="I256" i="1"/>
  <c r="E47" i="2" s="1"/>
  <c r="J289" i="1"/>
  <c r="E53" i="2"/>
  <c r="F53" s="1"/>
  <c r="I53" s="1"/>
  <c r="J286" i="1"/>
  <c r="E52" i="2"/>
  <c r="F52" s="1"/>
  <c r="I52" s="1"/>
  <c r="J284" i="1"/>
  <c r="F30" i="2"/>
  <c r="I30" s="1"/>
  <c r="C15" i="3"/>
  <c r="C22" s="1"/>
  <c r="F14" i="2"/>
  <c r="I14" s="1"/>
  <c r="J21" i="1"/>
  <c r="I188"/>
  <c r="E37" i="2" s="1"/>
  <c r="E38"/>
  <c r="F38" s="1"/>
  <c r="I38" s="1"/>
  <c r="E39"/>
  <c r="F39" s="1"/>
  <c r="I39" s="1"/>
  <c r="J192" i="1"/>
  <c r="D47" i="2"/>
  <c r="E23"/>
  <c r="F23" s="1"/>
  <c r="I23" s="1"/>
  <c r="I57" i="1"/>
  <c r="E21" i="2" s="1"/>
  <c r="E12"/>
  <c r="I12" i="1"/>
  <c r="E11" i="2" s="1"/>
  <c r="E32"/>
  <c r="F32" s="1"/>
  <c r="I32" s="1"/>
  <c r="J145" i="1"/>
  <c r="D11" i="2"/>
  <c r="E25"/>
  <c r="F25" s="1"/>
  <c r="I25" s="1"/>
  <c r="J88" i="1"/>
  <c r="J127"/>
  <c r="I337"/>
  <c r="E61" i="2" s="1"/>
  <c r="E62"/>
  <c r="F62" s="1"/>
  <c r="I62" s="1"/>
  <c r="J189" i="1"/>
  <c r="I117"/>
  <c r="E27" i="2" s="1"/>
  <c r="E28"/>
  <c r="I214" i="1"/>
  <c r="E43" i="2" s="1"/>
  <c r="E44"/>
  <c r="F44" s="1"/>
  <c r="I44" s="1"/>
  <c r="D61"/>
  <c r="D21"/>
  <c r="J33" i="1"/>
  <c r="D16" i="2"/>
  <c r="F16" s="1"/>
  <c r="F28"/>
  <c r="I28" s="1"/>
  <c r="I29" i="3"/>
  <c r="D37" i="2"/>
  <c r="J13" i="1"/>
  <c r="D27" i="2"/>
  <c r="D43"/>
  <c r="F12"/>
  <c r="I12" s="1"/>
  <c r="J214" i="1" l="1"/>
  <c r="J337"/>
  <c r="F61" i="2"/>
  <c r="J256" i="1"/>
  <c r="F47" i="2"/>
  <c r="F37"/>
  <c r="J188" i="1"/>
  <c r="J117"/>
  <c r="F27" i="2"/>
  <c r="J57" i="1"/>
  <c r="F21" i="2"/>
  <c r="J372" i="1"/>
  <c r="F69" i="2"/>
  <c r="J12" i="1"/>
  <c r="F43" i="2"/>
  <c r="F11"/>
</calcChain>
</file>

<file path=xl/sharedStrings.xml><?xml version="1.0" encoding="utf-8"?>
<sst xmlns="http://schemas.openxmlformats.org/spreadsheetml/2006/main" count="2890" uniqueCount="777">
  <si>
    <t>Slepý stavební rozpočet</t>
  </si>
  <si>
    <t>Název stavby:</t>
  </si>
  <si>
    <t>Druh stavby:</t>
  </si>
  <si>
    <t>Lokalita:</t>
  </si>
  <si>
    <t>JKSO:</t>
  </si>
  <si>
    <t>Č</t>
  </si>
  <si>
    <t xml:space="preserve">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</si>
  <si>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</si>
  <si>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</si>
  <si>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</si>
  <si>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</si>
  <si>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</si>
  <si>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</si>
  <si>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</si>
  <si>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</si>
  <si>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</si>
  <si>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</si>
  <si>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</si>
  <si>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</si>
  <si>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</si>
  <si>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</si>
  <si>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</si>
  <si>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</si>
  <si>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</si>
  <si>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</si>
  <si>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</si>
  <si>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</si>
  <si>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</si>
  <si>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</si>
  <si>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</si>
  <si>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</si>
  <si>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</si>
  <si>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</si>
  <si>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</si>
  <si>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</si>
  <si>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</si>
  <si>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</si>
  <si>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</si>
  <si>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</si>
  <si>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</si>
  <si>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</si>
  <si>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</si>
  <si>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</si>
  <si>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</si>
  <si>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</si>
  <si>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</si>
  <si>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</si>
  <si>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</si>
  <si>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</si>
  <si>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</si>
  <si>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</si>
  <si>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</si>
  <si>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</si>
  <si>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</si>
  <si>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</si>
  <si>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</si>
  <si>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</si>
  <si>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</si>
  <si>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</si>
  <si>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</si>
  <si>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</si>
  <si>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</si>
  <si>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</si>
  <si>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</si>
  <si>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</si>
  <si>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</si>
  <si>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</si>
  <si>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</si>
  <si>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</si>
  <si>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</si>
  <si>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</si>
  <si>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</si>
  <si>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</si>
  <si>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</si>
  <si>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</si>
  <si>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</si>
  <si>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</si>
  <si>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</si>
  <si>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</si>
  <si>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</si>
  <si>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</si>
  <si>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</si>
  <si>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</si>
  <si>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</si>
  <si>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</si>
  <si>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</si>
  <si>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</si>
  <si>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</si>
  <si>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</si>
  <si>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</si>
  <si>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</si>
  <si>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</si>
  <si>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</si>
  <si>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</si>
  <si>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</si>
  <si>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</si>
  <si>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</si>
  <si>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</si>
  <si>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</si>
  <si>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</si>
  <si>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</si>
  <si>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</si>
  <si>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</si>
  <si>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</si>
  <si>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</si>
  <si>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</si>
  <si>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</si>
  <si>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</si>
  <si>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</si>
  <si>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</si>
  <si>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</si>
  <si>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</si>
  <si>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</si>
  <si>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</si>
  <si>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</si>
  <si>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</si>
  <si>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</si>
  <si>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</si>
  <si>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</si>
  <si>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</si>
  <si>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</si>
  <si>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</si>
  <si>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</si>
  <si>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</si>
  <si>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</si>
  <si>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</si>
  <si>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</si>
  <si>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</si>
  <si>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</si>
  <si>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</si>
  <si>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</si>
  <si>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</si>
  <si>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</si>
  <si>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</si>
  <si>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</si>
  <si>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</si>
  <si>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</si>
  <si>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</si>
  <si>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</si>
  <si>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</si>
  <si>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</si>
  <si>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</si>
  <si>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</si>
  <si>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</si>
  <si>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</si>
  <si>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</si>
  <si>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</si>
  <si>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</si>
  <si>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</si>
  <si>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</si>
  <si>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</si>
  <si>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</si>
  <si>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</si>
  <si>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</si>
  <si>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</si>
  <si>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</si>
  <si>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</si>
  <si>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</si>
  <si>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</si>
  <si>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</si>
  <si>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</si>
  <si>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</si>
  <si>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</si>
  <si>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</si>
  <si>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</si>
  <si>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</si>
  <si>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</si>
  <si>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</si>
  <si>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</si>
  <si>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</si>
  <si>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</si>
  <si>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</si>
  <si>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</si>
  <si>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</si>
  <si>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</si>
  <si>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</si>
  <si>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</si>
  <si>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</si>
  <si>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</si>
  <si>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</si>
  <si>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</si>
  <si>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</si>
  <si>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</si>
  <si>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</si>
  <si>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</si>
  <si>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</si>
  <si>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</si>
  <si>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</si>
  <si>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</si>
  <si>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</si>
  <si>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</si>
  <si>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Poznámka:</t>
  </si>
  <si>
    <t>Objekt</t>
  </si>
  <si>
    <t>001</t>
  </si>
  <si>
    <t>002</t>
  </si>
  <si>
    <t>003</t>
  </si>
  <si>
    <t>004</t>
  </si>
  <si>
    <t>005</t>
  </si>
  <si>
    <t>006</t>
  </si>
  <si>
    <t>007</t>
  </si>
  <si>
    <t>008</t>
  </si>
  <si>
    <t>Kód</t>
  </si>
  <si>
    <t>216904212R00</t>
  </si>
  <si>
    <t>622421121RT2</t>
  </si>
  <si>
    <t>622421143R00</t>
  </si>
  <si>
    <t>941941031R00</t>
  </si>
  <si>
    <t>941941831R00</t>
  </si>
  <si>
    <t>941941111R00</t>
  </si>
  <si>
    <t>944944011R00</t>
  </si>
  <si>
    <t>70921002</t>
  </si>
  <si>
    <t>944944081R00</t>
  </si>
  <si>
    <t>H01</t>
  </si>
  <si>
    <t>998011001R00</t>
  </si>
  <si>
    <t>602021152RT2</t>
  </si>
  <si>
    <t>602021151RT1</t>
  </si>
  <si>
    <t>784</t>
  </si>
  <si>
    <t>78411170RR00</t>
  </si>
  <si>
    <t>784115212R00</t>
  </si>
  <si>
    <t>978200010RA0</t>
  </si>
  <si>
    <t>978023411R00</t>
  </si>
  <si>
    <t>S</t>
  </si>
  <si>
    <t>979087311R00</t>
  </si>
  <si>
    <t>979087391R00</t>
  </si>
  <si>
    <t>979083117R00</t>
  </si>
  <si>
    <t>979093111R00</t>
  </si>
  <si>
    <t>979091221R00</t>
  </si>
  <si>
    <t>979990001R00</t>
  </si>
  <si>
    <t>612445921R00</t>
  </si>
  <si>
    <t>766</t>
  </si>
  <si>
    <t>O1</t>
  </si>
  <si>
    <t>O2</t>
  </si>
  <si>
    <t>O3</t>
  </si>
  <si>
    <t>O4</t>
  </si>
  <si>
    <t>O5</t>
  </si>
  <si>
    <t>O6</t>
  </si>
  <si>
    <t>O7</t>
  </si>
  <si>
    <t>784191101R00</t>
  </si>
  <si>
    <t>784195212R00</t>
  </si>
  <si>
    <t>968071113R00</t>
  </si>
  <si>
    <t>968071112R00</t>
  </si>
  <si>
    <t>968072245R00</t>
  </si>
  <si>
    <t>968072246R00</t>
  </si>
  <si>
    <t>OCH11238</t>
  </si>
  <si>
    <t>979017111R00</t>
  </si>
  <si>
    <t>979011219R00</t>
  </si>
  <si>
    <t>979088212R00</t>
  </si>
  <si>
    <t>630900020RAA</t>
  </si>
  <si>
    <t>631312311R00</t>
  </si>
  <si>
    <t>711</t>
  </si>
  <si>
    <t>711212002R00</t>
  </si>
  <si>
    <t>725</t>
  </si>
  <si>
    <t>7252192011R00</t>
  </si>
  <si>
    <t>725290020RA0</t>
  </si>
  <si>
    <t>725219201R00</t>
  </si>
  <si>
    <t>725829301R00</t>
  </si>
  <si>
    <t>725210974R00</t>
  </si>
  <si>
    <t>R0001253</t>
  </si>
  <si>
    <t>R0001254</t>
  </si>
  <si>
    <t>R0001255</t>
  </si>
  <si>
    <t>771</t>
  </si>
  <si>
    <t>771990010RA0</t>
  </si>
  <si>
    <t>771575109RT8</t>
  </si>
  <si>
    <t>5976231421</t>
  </si>
  <si>
    <t>998771102R00</t>
  </si>
  <si>
    <t>781</t>
  </si>
  <si>
    <t>781101210R00</t>
  </si>
  <si>
    <t>781230131R00</t>
  </si>
  <si>
    <t>5978137491</t>
  </si>
  <si>
    <t>998781102R00</t>
  </si>
  <si>
    <t>965048250R00</t>
  </si>
  <si>
    <t>962100013RA0</t>
  </si>
  <si>
    <t>978500010RA0</t>
  </si>
  <si>
    <t>979990111R00</t>
  </si>
  <si>
    <t>722</t>
  </si>
  <si>
    <t>722172633R00</t>
  </si>
  <si>
    <t>722172613R00</t>
  </si>
  <si>
    <t>R0001EL</t>
  </si>
  <si>
    <t>R5413211111</t>
  </si>
  <si>
    <t>642213891</t>
  </si>
  <si>
    <t>725829301RT2</t>
  </si>
  <si>
    <t>728</t>
  </si>
  <si>
    <t>7281141111R00</t>
  </si>
  <si>
    <t>429851112</t>
  </si>
  <si>
    <t>728415111R00</t>
  </si>
  <si>
    <t>42972760</t>
  </si>
  <si>
    <t>728614611R00</t>
  </si>
  <si>
    <t>429148040</t>
  </si>
  <si>
    <t>R97403112R00</t>
  </si>
  <si>
    <t>D01</t>
  </si>
  <si>
    <t>D02</t>
  </si>
  <si>
    <t>D03</t>
  </si>
  <si>
    <t>D04</t>
  </si>
  <si>
    <t>OP1</t>
  </si>
  <si>
    <t>OP2</t>
  </si>
  <si>
    <t>OP3</t>
  </si>
  <si>
    <t>OP4</t>
  </si>
  <si>
    <t>OP5</t>
  </si>
  <si>
    <t>VY01</t>
  </si>
  <si>
    <t>VY02</t>
  </si>
  <si>
    <t>VY01.1</t>
  </si>
  <si>
    <t>VY02.1</t>
  </si>
  <si>
    <t>VY03</t>
  </si>
  <si>
    <t>VY04</t>
  </si>
  <si>
    <t>VY05</t>
  </si>
  <si>
    <t>VY06</t>
  </si>
  <si>
    <t>VY07</t>
  </si>
  <si>
    <t>VY08</t>
  </si>
  <si>
    <t>VY09</t>
  </si>
  <si>
    <t>968061125R00</t>
  </si>
  <si>
    <t>968061126R00</t>
  </si>
  <si>
    <t>979017112R00</t>
  </si>
  <si>
    <t>979013319R00</t>
  </si>
  <si>
    <t>979087392R00</t>
  </si>
  <si>
    <t>979087312R00</t>
  </si>
  <si>
    <t>317941123RT3</t>
  </si>
  <si>
    <t>317941123RT5</t>
  </si>
  <si>
    <t>317321411R00</t>
  </si>
  <si>
    <t>317351107R00</t>
  </si>
  <si>
    <t>317351108R00</t>
  </si>
  <si>
    <t>612421615R00</t>
  </si>
  <si>
    <t>612421626R00</t>
  </si>
  <si>
    <t>632441011RT1</t>
  </si>
  <si>
    <t>642202011RAC</t>
  </si>
  <si>
    <t>642944121RT4</t>
  </si>
  <si>
    <t>766825821R00</t>
  </si>
  <si>
    <t>767</t>
  </si>
  <si>
    <t>R076001</t>
  </si>
  <si>
    <t>R076002</t>
  </si>
  <si>
    <t>776</t>
  </si>
  <si>
    <t>998776102R00</t>
  </si>
  <si>
    <t>776521200R00</t>
  </si>
  <si>
    <t>2841030x</t>
  </si>
  <si>
    <t>776511810RT2</t>
  </si>
  <si>
    <t>776411000R00</t>
  </si>
  <si>
    <t>961100015RA0</t>
  </si>
  <si>
    <t>962032231R00</t>
  </si>
  <si>
    <t>973031346R00</t>
  </si>
  <si>
    <t>971100021RAB</t>
  </si>
  <si>
    <t>998011003R00</t>
  </si>
  <si>
    <t>34701612RR00</t>
  </si>
  <si>
    <t>R07600553</t>
  </si>
  <si>
    <t>941940032RAB</t>
  </si>
  <si>
    <t>962081141R00</t>
  </si>
  <si>
    <t>STAVEBNÍ ÚPRAVY OBJEKTU M1, M2 - KLINIKA NEUROLOGIE</t>
  </si>
  <si>
    <t>Olomouc</t>
  </si>
  <si>
    <t>Zkrácený popis</t>
  </si>
  <si>
    <t>Rozměry</t>
  </si>
  <si>
    <t>Oprava vnějších omítek po demolici lékárny</t>
  </si>
  <si>
    <t>Úprava podloží a základové spáry</t>
  </si>
  <si>
    <t>Očištění stlačeným vzduchem zdiva a rubu kleneb</t>
  </si>
  <si>
    <t>70,38</t>
  </si>
  <si>
    <t>Úprava povrchů vnější</t>
  </si>
  <si>
    <t>Omítka vnější stěn, MVC, hrubá zatřená</t>
  </si>
  <si>
    <t>Omítka vnější stěn, MVC, štuková, složitost 1-2</t>
  </si>
  <si>
    <t>Lešení a stavební výtahy</t>
  </si>
  <si>
    <t>Montáž lešení leh.řad.s podlahami,š.do 1 m, H 10 m</t>
  </si>
  <si>
    <t>Demontáž lešení leh.řad.s podlahami,š.1 m, H 10 m</t>
  </si>
  <si>
    <t>Pronájem lešení za den</t>
  </si>
  <si>
    <t>75*10</t>
  </si>
  <si>
    <t>Montáž ochranné sítě z umělých vláken</t>
  </si>
  <si>
    <t>Síť na lešení ochranná s oky 1,80 x 15 m zelená</t>
  </si>
  <si>
    <t>Demontáž ochranné sítě z umělých vláken</t>
  </si>
  <si>
    <t>Budovy občanské výstavby</t>
  </si>
  <si>
    <t>Přesun hmot pro budovy zděné výšky do 6 m</t>
  </si>
  <si>
    <t>6,24+1,3893</t>
  </si>
  <si>
    <t>Sanace omítek v 1PP</t>
  </si>
  <si>
    <t>Omítky ze suchých směsí</t>
  </si>
  <si>
    <t>Omítka sanační Baumit Sanova MonoTrass H, ručně</t>
  </si>
  <si>
    <t>Štuk stěn sanační Baumit Sanova, ručně</t>
  </si>
  <si>
    <t>Malby</t>
  </si>
  <si>
    <t>Penetrace podkladu nátěrem Remal 1x</t>
  </si>
  <si>
    <t>93,22</t>
  </si>
  <si>
    <t>Malba Remal standard, bílá, bez penetr.,2 x</t>
  </si>
  <si>
    <t>Prorážení otvorů a ostatní bourací práce</t>
  </si>
  <si>
    <t>Otlučení vnitřních omítek stěn vápenocem. 100 %</t>
  </si>
  <si>
    <t>(18,6+6,575+5,4+6,625)*2,76   1PP</t>
  </si>
  <si>
    <t>-5*0,9*2,1   odpočet dveře</t>
  </si>
  <si>
    <t>Vysekání a úprava spár zdiva cihelného mimo komín.</t>
  </si>
  <si>
    <t>Přesuny sutí</t>
  </si>
  <si>
    <t>Vodorovné přemístění suti nošením do 10 m</t>
  </si>
  <si>
    <t>4,2882+1,3051</t>
  </si>
  <si>
    <t>Příplatek za nošení suti každých dalších 10 m</t>
  </si>
  <si>
    <t>5,593*5</t>
  </si>
  <si>
    <t>Vodorovné přemístění suti na skládku do 6000 m</t>
  </si>
  <si>
    <t>Uložení suti na skládku bez zhutnění</t>
  </si>
  <si>
    <t>Vodorovné přemístění suti za každý další 1 km</t>
  </si>
  <si>
    <t>5,593*10</t>
  </si>
  <si>
    <t>Poplatek za skládku stavební suti</t>
  </si>
  <si>
    <t>Výměna výplní otvorů - okna</t>
  </si>
  <si>
    <t>Úprava povrchů vnitřní</t>
  </si>
  <si>
    <t>Omítka sádrová vnitřního ostění - hladká</t>
  </si>
  <si>
    <t>85,872</t>
  </si>
  <si>
    <t>Konstrukce truhlářské</t>
  </si>
  <si>
    <t>O1 D+M okno plastové dvoukřídlé otevíravé a výklopné 1400x1700mm vč. vnitřního a vnejšího parapetu a sítí proti hmyzu</t>
  </si>
  <si>
    <t>O2 D+M okno plastové dvoukřídlé otevíravé a výklopné 1400x1700mm vč. vnitřního a vnejšího parapetu a sítí proti hmyzu</t>
  </si>
  <si>
    <t>O3 D+M okno plastové dvoukřídlé otevíravé a výklopné 1400x1700mm vč. vnitřního a vnejšího parapetu a sítí proti hmyzu</t>
  </si>
  <si>
    <t>O4 D+M okno plastové jednokřídlé otevíravé a výklopné 1180x1700mm vč. vnitřního a vnejšího parapetu a sítí proti hmyzu</t>
  </si>
  <si>
    <t>O5 D+M okno dřevěné,výsuvné neprůhledné 1205x1200mm bez parapetu, vč. zednického zapravení</t>
  </si>
  <si>
    <t>O6 D+M okno plastové dvoukřídlé otevíravé a výklopné 2400x2250 mm vč. vnitřního a vnejšího parapetu</t>
  </si>
  <si>
    <t>O7 D+M okno plastové dvoukřídlé otevíravé a výklopné 1470x1700mm vč. vnitřního a vnejšího parapetu a sítí proti hmyzu</t>
  </si>
  <si>
    <t>O8 D+M okno plastové jednokřídlé výklopné 1180x2370mm vč. vnitřního a vnejšího parapetu</t>
  </si>
  <si>
    <t>O10 D+M okno plastové dvoukřídlé otevíravé výklopné 1470x1700mm vč. vnitřního a vnejšího parapetu a sítě proti hmyzu</t>
  </si>
  <si>
    <t>O11 D+M okno plastové dvoukřídlé vrch.otevíravé, spodní výklopné 1180x1700mm vč. vnitřního a vnejšího parapetu a sítě proti hmyzu</t>
  </si>
  <si>
    <t>O12 D+M okno plastové dvoukřídlé otevíravé výklopné 1400x1700mm vč. vnitřního a vnejšího parapetu a sítě proti hmyzu</t>
  </si>
  <si>
    <t>Penetrace podkladu univerzální Primalex 1x - ostění</t>
  </si>
  <si>
    <t>1,4*45*0,28</t>
  </si>
  <si>
    <t>1,7*90*0,28</t>
  </si>
  <si>
    <t>1,18*11*0,28</t>
  </si>
  <si>
    <t>1,7*22*0,28</t>
  </si>
  <si>
    <t>2,4*4*0,28</t>
  </si>
  <si>
    <t>2,25*8*0,28</t>
  </si>
  <si>
    <t>1,18*1*0,28</t>
  </si>
  <si>
    <t>2,37*2*0,28</t>
  </si>
  <si>
    <t>2,05*1*0,28</t>
  </si>
  <si>
    <t>Malba Primalex Plus, bílá, bez penetrace, 2 x</t>
  </si>
  <si>
    <t>85,872   ostění</t>
  </si>
  <si>
    <t>Bourání konstrukcí</t>
  </si>
  <si>
    <t>Vyvěšení,zavěšení  kovových křídel oken nad 1,5 m2</t>
  </si>
  <si>
    <t>10+27+17+8+1+3   O1,2,3,5,6,7</t>
  </si>
  <si>
    <t>Vyvěšení, zavěšení kovových křídel oken pl. 1,5 m2</t>
  </si>
  <si>
    <t>2   O4</t>
  </si>
  <si>
    <t>Vybourání kovových rámů oken jednod. pl. 2 m2</t>
  </si>
  <si>
    <t>1,205*1,2*2   O4</t>
  </si>
  <si>
    <t>Vybourání kovových rámů oken jednod. pl. 4 m2</t>
  </si>
  <si>
    <t>1,4*1,7*10   O1</t>
  </si>
  <si>
    <t>1,4*1,7*27   O2</t>
  </si>
  <si>
    <t>1,4*1,7*17   O3</t>
  </si>
  <si>
    <t>1,18*1,7*8   O5</t>
  </si>
  <si>
    <t>1,47*1,7*1   O6</t>
  </si>
  <si>
    <t>1,78*1,25*3   O7</t>
  </si>
  <si>
    <t>Zakrývání a ochrana podlahových krytin při výměně oken a pohybu v místnostech</t>
  </si>
  <si>
    <t>Svislé přemístění suti nošením na H do 3,5 m</t>
  </si>
  <si>
    <t>0,1225+5,3333</t>
  </si>
  <si>
    <t>Přípl.k svislé dopr.suti za každé další NP nošením</t>
  </si>
  <si>
    <t>5,456/2</t>
  </si>
  <si>
    <t>5,456*3</t>
  </si>
  <si>
    <t>Nakládání suti na dopravní prostředky</t>
  </si>
  <si>
    <t>5,456*10</t>
  </si>
  <si>
    <t>Oprava sociálního zařízení  ve 2NP a 3NP</t>
  </si>
  <si>
    <t>Podlahy a podlahové konstrukce</t>
  </si>
  <si>
    <t>Vybourání betonové mazaniny tl. 5cm</t>
  </si>
  <si>
    <t>9,4*2</t>
  </si>
  <si>
    <t>Mazanina betonová tl .5 - 8 cm C -/7,5</t>
  </si>
  <si>
    <t>9,4*2*0,04</t>
  </si>
  <si>
    <t>Izolace proti vodě</t>
  </si>
  <si>
    <t>Hydroizolační povlak - nátěr nebo stěrka</t>
  </si>
  <si>
    <t>46,68*0,5   oprava stávající předpoklad 50% plochy</t>
  </si>
  <si>
    <t>9,4*2+(13,31-1,2)*0,2*2   podlaha a vytažení 20cm na stěnu</t>
  </si>
  <si>
    <t>Zařizovací předměty</t>
  </si>
  <si>
    <t>D+M umyvadla včetně pákové baterie</t>
  </si>
  <si>
    <t>Demontáž umyvadla včetně baterie a konzol</t>
  </si>
  <si>
    <t>Montáž umyvadel na konzoly</t>
  </si>
  <si>
    <t>Montáž baterie umyv.a dřezové stojánkové</t>
  </si>
  <si>
    <t>Odmontování a zpětná montáž konzoly</t>
  </si>
  <si>
    <t>D+M nástěnné sprchové baterie vč. sprchové hlavice s hadicí a tyčí s posuvným držákem (ruční sprchou)</t>
  </si>
  <si>
    <t>D+M odtokového žlabu spádového, vč. napojení do stávající kanalizace</t>
  </si>
  <si>
    <t>D+M sprchového koutu - zástěna lamino, voděodolná, vč. dveří</t>
  </si>
  <si>
    <t>Podlahy z dlaždic</t>
  </si>
  <si>
    <t>Vybourání keramické nebo teracové dlažby</t>
  </si>
  <si>
    <t>Montáž podlah keram.,hladké, tmel, 30x30 cm</t>
  </si>
  <si>
    <t>Dlaždice 30x30 R12 dle výběru investora</t>
  </si>
  <si>
    <t>;ztratné 5%; 0,94</t>
  </si>
  <si>
    <t>Přesun hmot pro podlahy z dlaždic, výšky do 12 m</t>
  </si>
  <si>
    <t>Obklady (keramické)</t>
  </si>
  <si>
    <t>Penetrace podkladu pod obklady</t>
  </si>
  <si>
    <t>49,8</t>
  </si>
  <si>
    <t>Obkládání stěn vnitř. keram. do tmele nad 300x300</t>
  </si>
  <si>
    <t>Obkládačka 30x60 - barva dle výběru investora</t>
  </si>
  <si>
    <t>;ztratné 10%; 4,98</t>
  </si>
  <si>
    <t>Přesun hmot pro obklady keramické, výšky do 12 m</t>
  </si>
  <si>
    <t>Penetrace podkladu univerzální Primalex 1x</t>
  </si>
  <si>
    <t>13,31*2*0,8   místnost 0,8m koupelna</t>
  </si>
  <si>
    <t>9,44*2   stropy</t>
  </si>
  <si>
    <t>6,39*2   místnost 0,8m předsíň</t>
  </si>
  <si>
    <t>3,77*2   strop</t>
  </si>
  <si>
    <t>Dočištění povrchu po vybourání dlažeb, MC do 50%</t>
  </si>
  <si>
    <t>Bourání nadzákladového zdiva z cihel plných</t>
  </si>
  <si>
    <t>0,45*2,8*0,15</t>
  </si>
  <si>
    <t>Odsekání vnitřních obkladů</t>
  </si>
  <si>
    <t>(13,31*2)*2   koupelna</t>
  </si>
  <si>
    <t>-1,2*2,05*2-1,4*1,7*2</t>
  </si>
  <si>
    <t>1,56*2*2   předsíň</t>
  </si>
  <si>
    <t>2,068+1,6356+3,3864+0,0637   keramika</t>
  </si>
  <si>
    <t>0,368+0,4796+0,0382   zdivo</t>
  </si>
  <si>
    <t>8,004/2</t>
  </si>
  <si>
    <t>8,002*3</t>
  </si>
  <si>
    <t>Poplatek za skládku suti - stavební keramika</t>
  </si>
  <si>
    <t>8,004</t>
  </si>
  <si>
    <t>8,004*10</t>
  </si>
  <si>
    <t>Doplnění umyvadel na WC</t>
  </si>
  <si>
    <t>Vnitřní vodovod</t>
  </si>
  <si>
    <t>Potrubí z PPR Instaplast, teplá, D 32x5,4 mm</t>
  </si>
  <si>
    <t>Potrubí z PPR Instaplast, studená, D 32x4,4 mm</t>
  </si>
  <si>
    <t>Přívod elektroinstalace k ohřívači vody</t>
  </si>
  <si>
    <t>D+M Ohřívače vody průtokového el.</t>
  </si>
  <si>
    <t>Umývátko DEEP s otvorem pro bat. 45x37 cm</t>
  </si>
  <si>
    <t>Vzduchotechnika</t>
  </si>
  <si>
    <t>Montáž potrubí plastového kruhového do d 100 mm vč. montáže a dodávky podstropních objímek</t>
  </si>
  <si>
    <t>Potrubí plastové kulaté VP 100/1000 KP</t>
  </si>
  <si>
    <t>4,5</t>
  </si>
  <si>
    <t>;ztratné 5%; 0,225</t>
  </si>
  <si>
    <t>Montáž mřížky větrací nebo ventilační do 0,04 m2</t>
  </si>
  <si>
    <t>Mřížka kruhová KMM pr.100.30, do zdi</t>
  </si>
  <si>
    <t>Mtž ventilátoru axiál. nízkotl. nástěn.do d 100 mm</t>
  </si>
  <si>
    <t>Ventilátor do koupelny DN100 MAL TURBO</t>
  </si>
  <si>
    <t>3,44*2,95-0,7*2,05*2   stěny WC</t>
  </si>
  <si>
    <t>1,44*2   stropy</t>
  </si>
  <si>
    <t>Vysekání rýh ve zdi cihelné 3 x 7 cm, vč. zednického zapravení</t>
  </si>
  <si>
    <t>Výplně otvorů - dveře</t>
  </si>
  <si>
    <t>D01 D+M Vnějších plastových dveří, dvoukřídlých 1650x2450mm vč. oplechování a parepetu</t>
  </si>
  <si>
    <t>D02 D+M vnitřních dřevěných dveří 800x1970mm vč. oplechování  a ochranného kování nerez a vnitřního čalounění</t>
  </si>
  <si>
    <t>D03 D+M vnějších plastových dveří 1200x2450mm vč. oplechování a parepetu a zapravení u podlahy</t>
  </si>
  <si>
    <t>D04 D+M vnějších hliníkových dveří 1100x2100mm vč. oplechování a parepetu a zapravení u podlahy</t>
  </si>
  <si>
    <t>OP1 Oprava dveří, vyspravení nerovností, hran, nátěr 1100x1970mm vč. ochrany dveří nerez. plech</t>
  </si>
  <si>
    <t>OP2 Oprava dveří, vyspravení nerovností, hran, nátěr 800x1970mm vč. ochrany dveří nerez. plech</t>
  </si>
  <si>
    <t>OP3 Oprava dveří, vyspravení nerovností, hran, nátěr 800x1970mm vč. ochrany dveří nerez. plech</t>
  </si>
  <si>
    <t>OP4 Oprava dveří, vyspravení nerovností, hran, nátěr 1100x1970mm vč. ochrany dveří nerez. plech</t>
  </si>
  <si>
    <t>OP5 Oprava dveří, vyspravení nerovností, hran, nátěr 800x1970mm vč. ochrany dveří nerez. plech, vnitř. vnitř. čalounění</t>
  </si>
  <si>
    <t>VY01 D+M dveří dřevěných vnitřních 800x1970mm vč. kliky, zámku, vložky, ochrany dveří nerez. plech</t>
  </si>
  <si>
    <t>VY02 D+M dveří dřevěných vnitřních 1100x1970mm vč. kliky, zámku, vložky, ochrany dveří nerez. plech</t>
  </si>
  <si>
    <t>VY01.1 D+M dveří dřevěných vnitřních 800x1970mm vč. kliky, zámku, vložky, ochrany dveří nerez. plech, vnitř. čalounění</t>
  </si>
  <si>
    <t>VY02.1 D+M dveří dřevěných vnitřních 1100x1970mm vč. kliky, zámku, vložky, ochrany dveří nerez. plech, vnitř. čalounění</t>
  </si>
  <si>
    <t>VY03 D+M dveří dřevěných vnitřních 1100x1970mm vč. kliky, zámku, vložky, ochrany dveří nerez. plech, vnitř. čalounění</t>
  </si>
  <si>
    <t>VY04 D+M dveří dřevěných vnitřních 800x1970mm vč. kliky, zámku, vložky, ochrany dveří nerez. plech, vnitř. čalounění</t>
  </si>
  <si>
    <t>VY05 D+M dveří dřevěných vnitřních 1200x1970mm vč. kliky, zámku, vložky, ochrany dveří nerez. plech, vnitř. čalounění</t>
  </si>
  <si>
    <t>VY06 D+M dveří dřevěných vnitřních 1100x1970mm vč. kliky, zámku, vložky, ochrany dveří nerez. plech, vnitř. čalounění</t>
  </si>
  <si>
    <t>VY07 D+M dveří dřevěných vnitřních 1100x1970mm vč. kliky, zámku, vložky, ochrany dveří nerez. plech, vnitř. čalounění</t>
  </si>
  <si>
    <t>VY08 D+M dveří dřevěných vnitřních 600x1970mm vč. kliky, zámku, vložky, ochrany dveří nerez. plech</t>
  </si>
  <si>
    <t>VY09 D+M dveří dřevěných vnitřních 800x1970mm vč. kliky, zámku, vložky, ochrany dveří nerez. plech, vnitř. čalounění</t>
  </si>
  <si>
    <t>Vyvěšení dřevěných dveřních křídel pl. do 2 m2</t>
  </si>
  <si>
    <t>Vyvěšení dřevěných dveřních křídel pl. nad 2 m2</t>
  </si>
  <si>
    <t>Svislé přemístění vyb. hmot nošením na H do 3,5 m</t>
  </si>
  <si>
    <t>8*15*0,001</t>
  </si>
  <si>
    <t>13*20*0,001</t>
  </si>
  <si>
    <t>1*30*0,001</t>
  </si>
  <si>
    <t>Příplatek k přesunu hmot za dalších 3,5 m výšky</t>
  </si>
  <si>
    <t>0,41*2</t>
  </si>
  <si>
    <t>Příplatek za nošení vyb. hmot každých dalších 10 m</t>
  </si>
  <si>
    <t>0,41*3</t>
  </si>
  <si>
    <t>Vodorovné přemístění vyb. hmot nošením do 10 m</t>
  </si>
  <si>
    <t>0,41</t>
  </si>
  <si>
    <t>0,41*10</t>
  </si>
  <si>
    <t>Úprava chodby ve 4.NP</t>
  </si>
  <si>
    <t>Zdi podpěrné a volné</t>
  </si>
  <si>
    <t>Osazení ocelových válcovaných nosníků  č.14-22 vč dodávky I160</t>
  </si>
  <si>
    <t>3*17,9*1,3*0,001</t>
  </si>
  <si>
    <t>Osazení ocelových válcovaných nosníků  č.14-22</t>
  </si>
  <si>
    <t>3*26,2*2,75*0,001</t>
  </si>
  <si>
    <t>Beton překladů železový  C 25/30</t>
  </si>
  <si>
    <t>0,2*2,75*0,5</t>
  </si>
  <si>
    <t>0,16*1,3*0,45</t>
  </si>
  <si>
    <t>Bednění překladů - zřízení</t>
  </si>
  <si>
    <t>(1,43+0,8+1)*(0,45+2*0,25)</t>
  </si>
  <si>
    <t>0,65*0,99+0,99*0,25*2</t>
  </si>
  <si>
    <t>Bednění překladů - odstranění</t>
  </si>
  <si>
    <t>Omítka vnitřní zdiva, MVC, hrubá zatřená</t>
  </si>
  <si>
    <t>0,3*2   stěna po rampě</t>
  </si>
  <si>
    <t>2,75*0,5   po odbourané stěně u rampy</t>
  </si>
  <si>
    <t>0,5*2*2,05+0,5*0,9   otvor pro nové dveře</t>
  </si>
  <si>
    <t>1*2,05+0,8*2,05</t>
  </si>
  <si>
    <t>2,23*0,5+2,75*0,2*2   překlad1</t>
  </si>
  <si>
    <t>0,5*0,9+1,3*0,16*2   překlad2</t>
  </si>
  <si>
    <t>Omítka vnitřní zdiva, MVC, hladká</t>
  </si>
  <si>
    <t>Potěr anhydritový, plocha do 100 m2, tl.30 mm</t>
  </si>
  <si>
    <t>2,2   pod rampou</t>
  </si>
  <si>
    <t>Výplně otvorů</t>
  </si>
  <si>
    <t>Zazdění dveří jednokřídlových, omítka</t>
  </si>
  <si>
    <t>Osazení ocelových zárubní dodatečně do 2,5 m2</t>
  </si>
  <si>
    <t>Demontáž vestavěných skříní 2křídlových</t>
  </si>
  <si>
    <t>Konstrukce doplňkové stavební (zámečnické)</t>
  </si>
  <si>
    <t>D+M rampy, pozink kce, podlaha pororošt, vč zábradlí z pozink profilů a dřevěného madla, kotvení do chem. kotvy - dodávka v kompletizovaném provedení</t>
  </si>
  <si>
    <t>D+M schodiště, podlaha pororošt, vč. zábradlí z pozink profilů a dřevěného madla, kotvení do chem. kotvy - dodávka v kompletizovaném provedení</t>
  </si>
  <si>
    <t>27,6   chodba v místě uborané rampy</t>
  </si>
  <si>
    <t>Podlahy povlakové</t>
  </si>
  <si>
    <t>Přesun hmot pro podlahy povlakové, výšky do 12 m</t>
  </si>
  <si>
    <t>Lepení povlak.podlah, dílce PVC a vinyl, Chemopren</t>
  </si>
  <si>
    <t>27   podlaha chodby nad rampou</t>
  </si>
  <si>
    <t>0,5*1   podlaha dveře</t>
  </si>
  <si>
    <t>27,6   podlaha chodby u rampy</t>
  </si>
  <si>
    <t>Podlaha lepená Vinyl dle výběru investora</t>
  </si>
  <si>
    <t>55,1</t>
  </si>
  <si>
    <t>(28,9-7,2)*0,15+(29,6-6,65)*0,15   soklík</t>
  </si>
  <si>
    <t>;ztratné 5%; 3,0899</t>
  </si>
  <si>
    <t>Odstranění PVC a koberců lepených bez podložky</t>
  </si>
  <si>
    <t>27   chodba u rampy</t>
  </si>
  <si>
    <t>Lepení podlahových soklíků pryžových</t>
  </si>
  <si>
    <t>(28,9-7,2)*0,15+(29,6-6,65)*0,15</t>
  </si>
  <si>
    <t>11,246</t>
  </si>
  <si>
    <t>Bourání základů z betonu prostého - rampa</t>
  </si>
  <si>
    <t>2,2*0,25</t>
  </si>
  <si>
    <t>Bourání zdiva z cihel pálených na MVC</t>
  </si>
  <si>
    <t>1,1*2,75*0,5</t>
  </si>
  <si>
    <t>Vysekání kapes zeď cih. MVC pl. 0,25 m2, hl. 45 cm</t>
  </si>
  <si>
    <t>Vybourání otvorů ve zdivu cihelném</t>
  </si>
  <si>
    <t>0,9*2,05   otvor pro dveře</t>
  </si>
  <si>
    <t>0,2*2,38+0,9*0,16   otvor pro překlady</t>
  </si>
  <si>
    <t>Přesun hmot pro budovy zděné výšky do 24 m</t>
  </si>
  <si>
    <t>0,2208+2,4012+0,027+1,9987+0,6196+1,1+2,7253</t>
  </si>
  <si>
    <t>9,093*2</t>
  </si>
  <si>
    <t>9,093</t>
  </si>
  <si>
    <t>9,093*3</t>
  </si>
  <si>
    <t>9,093*10</t>
  </si>
  <si>
    <t>Nová výplň schodišťových oken</t>
  </si>
  <si>
    <t>Stěny a příčky</t>
  </si>
  <si>
    <t>Provizorní předstěna SDK, ocel. kce CW, 1x RB 12,5mm, bez tmelení</t>
  </si>
  <si>
    <t>(4,6+2,8+2,8)*2*3   provizorní příčky u schodiště</t>
  </si>
  <si>
    <t>D+M opláštění schodiště - sloupkopříčkové fasády vč. ocelové konstrukce - dodávka v kompletizovaném provedení</t>
  </si>
  <si>
    <t>2,4*11,279*2</t>
  </si>
  <si>
    <t>Lešení lehké fasádní, š. 1 m, výška do 30 m</t>
  </si>
  <si>
    <t>2,2*16*2</t>
  </si>
  <si>
    <t>Bourání příček ze skleněných tvárnic tl. 15 cm</t>
  </si>
  <si>
    <t>2*(2,4*11,279)</t>
  </si>
  <si>
    <t>4,4757</t>
  </si>
  <si>
    <t>4,4757*3</t>
  </si>
  <si>
    <t>4,4757*10</t>
  </si>
  <si>
    <t>Doba výstavby:</t>
  </si>
  <si>
    <t>Začátek výstavby:</t>
  </si>
  <si>
    <t>Konec výstavby:</t>
  </si>
  <si>
    <t>Zpracováno dne:</t>
  </si>
  <si>
    <t>M.j.</t>
  </si>
  <si>
    <t>m2</t>
  </si>
  <si>
    <t>t</t>
  </si>
  <si>
    <t>kus</t>
  </si>
  <si>
    <t>soubor</t>
  </si>
  <si>
    <t>m3</t>
  </si>
  <si>
    <t>m</t>
  </si>
  <si>
    <t>Množství</t>
  </si>
  <si>
    <t>17.07.2018</t>
  </si>
  <si>
    <t>Jednot.</t>
  </si>
  <si>
    <t>cena (Kč)</t>
  </si>
  <si>
    <t>Náklady (Kč)</t>
  </si>
  <si>
    <t>Dodávka</t>
  </si>
  <si>
    <t>Celkem:</t>
  </si>
  <si>
    <t>Objednatel:</t>
  </si>
  <si>
    <t>Projektant:</t>
  </si>
  <si>
    <t>Zhotovitel:</t>
  </si>
  <si>
    <t>Zpracoval:</t>
  </si>
  <si>
    <t>Montáž</t>
  </si>
  <si>
    <t>Fakultní nemocnice Olomouc</t>
  </si>
  <si>
    <t>Celkem</t>
  </si>
  <si>
    <t>Hmotnost (t)</t>
  </si>
  <si>
    <t>Cenová</t>
  </si>
  <si>
    <t>soustava</t>
  </si>
  <si>
    <t>RTS I / 2018</t>
  </si>
  <si>
    <t>RTS II / 2017</t>
  </si>
  <si>
    <t>RTS II / 2016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</si>
  <si>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</si>
  <si>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</si>
  <si>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</si>
  <si>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</si>
  <si>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</si>
  <si>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</si>
  <si>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</si>
  <si>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</si>
  <si>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</si>
  <si>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21_</t>
  </si>
  <si>
    <t>62_</t>
  </si>
  <si>
    <t>94_</t>
  </si>
  <si>
    <t>H01_</t>
  </si>
  <si>
    <t>60_</t>
  </si>
  <si>
    <t>784_</t>
  </si>
  <si>
    <t>97_</t>
  </si>
  <si>
    <t>S_</t>
  </si>
  <si>
    <t>61_</t>
  </si>
  <si>
    <t>766_</t>
  </si>
  <si>
    <t>96_</t>
  </si>
  <si>
    <t>63_</t>
  </si>
  <si>
    <t>711_</t>
  </si>
  <si>
    <t>725_</t>
  </si>
  <si>
    <t>771_</t>
  </si>
  <si>
    <t>781_</t>
  </si>
  <si>
    <t>722_</t>
  </si>
  <si>
    <t>728_</t>
  </si>
  <si>
    <t>31_</t>
  </si>
  <si>
    <t>64_</t>
  </si>
  <si>
    <t>767_</t>
  </si>
  <si>
    <t>776_</t>
  </si>
  <si>
    <t>34_</t>
  </si>
  <si>
    <t>001_2_</t>
  </si>
  <si>
    <t>001_6_</t>
  </si>
  <si>
    <t>001_9_</t>
  </si>
  <si>
    <t>002_6_</t>
  </si>
  <si>
    <t>002_78_</t>
  </si>
  <si>
    <t>002_9_</t>
  </si>
  <si>
    <t>003_6_</t>
  </si>
  <si>
    <t>003_76_</t>
  </si>
  <si>
    <t>003_78_</t>
  </si>
  <si>
    <t>003_9_</t>
  </si>
  <si>
    <t>004_6_</t>
  </si>
  <si>
    <t>004_71_</t>
  </si>
  <si>
    <t>004_72_</t>
  </si>
  <si>
    <t>004_77_</t>
  </si>
  <si>
    <t>004_78_</t>
  </si>
  <si>
    <t>004_9_</t>
  </si>
  <si>
    <t>005_72_</t>
  </si>
  <si>
    <t>005_78_</t>
  </si>
  <si>
    <t>005_9_</t>
  </si>
  <si>
    <t>006_76_</t>
  </si>
  <si>
    <t>006_9_</t>
  </si>
  <si>
    <t>007_3_</t>
  </si>
  <si>
    <t>007_6_</t>
  </si>
  <si>
    <t>007_76_</t>
  </si>
  <si>
    <t>007_77_</t>
  </si>
  <si>
    <t>007_78_</t>
  </si>
  <si>
    <t>007_9_</t>
  </si>
  <si>
    <t>008_3_</t>
  </si>
  <si>
    <t>008_6_</t>
  </si>
  <si>
    <t>008_76_</t>
  </si>
  <si>
    <t>008_9_</t>
  </si>
  <si>
    <t>001_</t>
  </si>
  <si>
    <t>002_</t>
  </si>
  <si>
    <t>003_</t>
  </si>
  <si>
    <t>004_</t>
  </si>
  <si>
    <t>005_</t>
  </si>
  <si>
    <t>006_</t>
  </si>
  <si>
    <t>007_</t>
  </si>
  <si>
    <t>008_</t>
  </si>
  <si>
    <t>Slepý stavební rozpočet - rekapitulace</t>
  </si>
  <si>
    <t>Náklady (Kč) - dodávka</t>
  </si>
  <si>
    <t>Náklady (Kč) - Montáž</t>
  </si>
  <si>
    <t>Náklady (Kč) - celkem</t>
  </si>
  <si>
    <t>Celková hmotnost (t)</t>
  </si>
  <si>
    <t>F</t>
  </si>
  <si>
    <t>T</t>
  </si>
  <si>
    <t>Rozpočtové náklady v Kč</t>
  </si>
  <si>
    <t>A</t>
  </si>
  <si>
    <t>HSV</t>
  </si>
  <si>
    <t>PSV</t>
  </si>
  <si>
    <t>"M"</t>
  </si>
  <si>
    <t>Ostatní materiál</t>
  </si>
  <si>
    <t>Přesun hmot a sutí</t>
  </si>
  <si>
    <t>ZRN celkem</t>
  </si>
  <si>
    <t>Základ 0%</t>
  </si>
  <si>
    <t>Základ 15%</t>
  </si>
  <si>
    <t>Základ 21%</t>
  </si>
  <si>
    <t>Projektant</t>
  </si>
  <si>
    <t>Datum, razítko a podpis</t>
  </si>
  <si>
    <t>Základní rozpočtové náklady</t>
  </si>
  <si>
    <t>Dodávky</t>
  </si>
  <si>
    <t>Krycí list slepého rozpočtu</t>
  </si>
  <si>
    <t>B</t>
  </si>
  <si>
    <t>Práce přesčas</t>
  </si>
  <si>
    <t>Bez pevné podl.</t>
  </si>
  <si>
    <t>Kulturní památka</t>
  </si>
  <si>
    <t>DN celkem</t>
  </si>
  <si>
    <t>DN celkem z obj.</t>
  </si>
  <si>
    <t>DPH 15%</t>
  </si>
  <si>
    <t>DPH 21%</t>
  </si>
  <si>
    <t>Objednatel</t>
  </si>
  <si>
    <t>Doplňkové náklady</t>
  </si>
  <si>
    <t>C</t>
  </si>
  <si>
    <t>Zařízení staveniště</t>
  </si>
  <si>
    <t>Mimostav. doprava</t>
  </si>
  <si>
    <t>Územní vlivy</t>
  </si>
  <si>
    <t>Provozní vlivy</t>
  </si>
  <si>
    <t>Ostatní</t>
  </si>
  <si>
    <t>NUS z rozpočtu</t>
  </si>
  <si>
    <t>NUS celkem</t>
  </si>
  <si>
    <t>NUS celkem z obj.</t>
  </si>
  <si>
    <t>ORN celkem</t>
  </si>
  <si>
    <t>ORN celkem z obj.</t>
  </si>
  <si>
    <t>Celkem bez DPH</t>
  </si>
  <si>
    <t>Celkem včetně DPH</t>
  </si>
  <si>
    <t>Zhotovitel</t>
  </si>
  <si>
    <t>IČ/DIČ:</t>
  </si>
  <si>
    <t>Položek:</t>
  </si>
  <si>
    <t>Datum:</t>
  </si>
  <si>
    <t>Náklady na umístění stavby (NUS)</t>
  </si>
  <si>
    <t>00098892/CZ00098892</t>
  </si>
  <si>
    <t>O9 D+M okno plastové trojkřídlé pevné 2050x2370mm vč. vnitřního a vnejšího parapetu</t>
  </si>
  <si>
    <t>O8</t>
  </si>
  <si>
    <t>O9</t>
  </si>
  <si>
    <t>O10</t>
  </si>
  <si>
    <t>O11</t>
  </si>
  <si>
    <t>O12</t>
  </si>
  <si>
    <t>POZEMSTAV Prostějov, a.s.</t>
  </si>
  <si>
    <t>25527380/CZ25527380</t>
  </si>
</sst>
</file>

<file path=xl/styles.xml><?xml version="1.0" encoding="utf-8"?>
<styleSheet xmlns="http://schemas.openxmlformats.org/spreadsheetml/2006/main">
  <numFmts count="1">
    <numFmt numFmtId="164" formatCode="#,##0.000"/>
  </numFmts>
  <fonts count="17">
    <font>
      <sz val="10"/>
      <name val="Arial"/>
    </font>
    <font>
      <sz val="10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54"/>
      <name val="Arial"/>
      <family val="2"/>
      <charset val="238"/>
    </font>
    <font>
      <sz val="10"/>
      <color indexed="56"/>
      <name val="Arial"/>
      <family val="2"/>
      <charset val="238"/>
    </font>
    <font>
      <sz val="10"/>
      <color indexed="61"/>
      <name val="Arial"/>
      <family val="2"/>
      <charset val="238"/>
    </font>
    <font>
      <sz val="10"/>
      <color indexed="62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10"/>
      <color indexed="54"/>
      <name val="Arial"/>
      <family val="2"/>
      <charset val="238"/>
    </font>
    <font>
      <b/>
      <sz val="10"/>
      <color indexed="56"/>
      <name val="Arial"/>
      <family val="2"/>
      <charset val="238"/>
    </font>
    <font>
      <i/>
      <sz val="10"/>
      <color indexed="63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9"/>
      </patternFill>
    </fill>
    <fill>
      <patternFill patternType="solid">
        <fgColor indexed="57"/>
        <bgColor indexed="9"/>
      </patternFill>
    </fill>
    <fill>
      <patternFill patternType="solid">
        <fgColor indexed="41"/>
      </patternFill>
    </fill>
    <fill>
      <patternFill patternType="solid">
        <fgColor indexed="22"/>
        <bgColor indexed="9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3">
    <xf numFmtId="0" fontId="1" fillId="0" borderId="0" xfId="0" applyFont="1" applyAlignment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1" fillId="0" borderId="2" xfId="0" applyNumberFormat="1" applyFont="1" applyFill="1" applyBorder="1" applyAlignment="1" applyProtection="1">
      <alignment horizontal="left" vertical="center"/>
    </xf>
    <xf numFmtId="49" fontId="4" fillId="2" borderId="3" xfId="0" applyNumberFormat="1" applyFont="1" applyFill="1" applyBorder="1" applyAlignment="1" applyProtection="1">
      <alignment horizontal="left" vertical="center"/>
    </xf>
    <xf numFmtId="49" fontId="5" fillId="3" borderId="0" xfId="0" applyNumberFormat="1" applyFont="1" applyFill="1" applyBorder="1" applyAlignment="1" applyProtection="1">
      <alignment horizontal="left" vertical="center"/>
    </xf>
    <xf numFmtId="49" fontId="6" fillId="0" borderId="0" xfId="0" applyNumberFormat="1" applyFont="1" applyFill="1" applyBorder="1" applyAlignment="1" applyProtection="1">
      <alignment horizontal="left"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4" fillId="2" borderId="0" xfId="0" applyNumberFormat="1" applyFont="1" applyFill="1" applyBorder="1" applyAlignment="1" applyProtection="1">
      <alignment horizontal="left" vertical="center"/>
    </xf>
    <xf numFmtId="49" fontId="6" fillId="0" borderId="4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/>
    </xf>
    <xf numFmtId="49" fontId="1" fillId="0" borderId="7" xfId="0" applyNumberFormat="1" applyFont="1" applyFill="1" applyBorder="1" applyAlignment="1" applyProtection="1">
      <alignment horizontal="left" vertical="center"/>
    </xf>
    <xf numFmtId="49" fontId="9" fillId="2" borderId="3" xfId="0" applyNumberFormat="1" applyFont="1" applyFill="1" applyBorder="1" applyAlignment="1" applyProtection="1">
      <alignment horizontal="left" vertical="center"/>
    </xf>
    <xf numFmtId="49" fontId="10" fillId="3" borderId="0" xfId="0" applyNumberFormat="1" applyFont="1" applyFill="1" applyBorder="1" applyAlignment="1" applyProtection="1">
      <alignment horizontal="left" vertical="center"/>
    </xf>
    <xf numFmtId="49" fontId="9" fillId="2" borderId="0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7" fillId="0" borderId="0" xfId="0" applyNumberFormat="1" applyFont="1" applyFill="1" applyBorder="1" applyAlignment="1" applyProtection="1">
      <alignment horizontal="right" vertical="center"/>
    </xf>
    <xf numFmtId="4" fontId="6" fillId="0" borderId="4" xfId="0" applyNumberFormat="1" applyFont="1" applyFill="1" applyBorder="1" applyAlignment="1" applyProtection="1">
      <alignment horizontal="right" vertical="center"/>
    </xf>
    <xf numFmtId="49" fontId="3" fillId="0" borderId="8" xfId="0" applyNumberFormat="1" applyFont="1" applyFill="1" applyBorder="1" applyAlignment="1" applyProtection="1">
      <alignment horizontal="center" vertical="center"/>
    </xf>
    <xf numFmtId="49" fontId="3" fillId="0" borderId="9" xfId="0" applyNumberFormat="1" applyFont="1" applyFill="1" applyBorder="1" applyAlignment="1" applyProtection="1">
      <alignment horizontal="center" vertical="center"/>
    </xf>
    <xf numFmtId="49" fontId="4" fillId="2" borderId="3" xfId="0" applyNumberFormat="1" applyFont="1" applyFill="1" applyBorder="1" applyAlignment="1" applyProtection="1">
      <alignment horizontal="left" vertical="center"/>
      <protection locked="0"/>
    </xf>
    <xf numFmtId="49" fontId="5" fillId="3" borderId="0" xfId="0" applyNumberFormat="1" applyFont="1" applyFill="1" applyBorder="1" applyAlignment="1" applyProtection="1">
      <alignment horizontal="left" vertical="center"/>
      <protection locked="0"/>
    </xf>
    <xf numFmtId="4" fontId="6" fillId="4" borderId="0" xfId="0" applyNumberFormat="1" applyFont="1" applyFill="1" applyBorder="1" applyAlignment="1" applyProtection="1">
      <alignment horizontal="right" vertical="center"/>
      <protection locked="0"/>
    </xf>
    <xf numFmtId="0" fontId="1" fillId="4" borderId="0" xfId="0" applyNumberFormat="1" applyFont="1" applyFill="1" applyBorder="1" applyAlignment="1" applyProtection="1">
      <alignment vertical="center"/>
      <protection locked="0"/>
    </xf>
    <xf numFmtId="4" fontId="7" fillId="4" borderId="0" xfId="0" applyNumberFormat="1" applyFont="1" applyFill="1" applyBorder="1" applyAlignment="1" applyProtection="1">
      <alignment horizontal="right" vertical="center"/>
      <protection locked="0"/>
    </xf>
    <xf numFmtId="49" fontId="4" fillId="2" borderId="0" xfId="0" applyNumberFormat="1" applyFont="1" applyFill="1" applyBorder="1" applyAlignment="1" applyProtection="1">
      <alignment horizontal="left" vertical="center"/>
      <protection locked="0"/>
    </xf>
    <xf numFmtId="4" fontId="6" fillId="4" borderId="4" xfId="0" applyNumberFormat="1" applyFont="1" applyFill="1" applyBorder="1" applyAlignment="1" applyProtection="1">
      <alignment horizontal="right" vertical="center"/>
      <protection locked="0"/>
    </xf>
    <xf numFmtId="49" fontId="3" fillId="0" borderId="10" xfId="0" applyNumberFormat="1" applyFont="1" applyFill="1" applyBorder="1" applyAlignment="1" applyProtection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/>
    </xf>
    <xf numFmtId="49" fontId="9" fillId="2" borderId="3" xfId="0" applyNumberFormat="1" applyFont="1" applyFill="1" applyBorder="1" applyAlignment="1" applyProtection="1">
      <alignment horizontal="right" vertical="center"/>
    </xf>
    <xf numFmtId="49" fontId="10" fillId="3" borderId="0" xfId="0" applyNumberFormat="1" applyFont="1" applyFill="1" applyBorder="1" applyAlignment="1" applyProtection="1">
      <alignment horizontal="right" vertical="center"/>
    </xf>
    <xf numFmtId="49" fontId="9" fillId="2" borderId="0" xfId="0" applyNumberFormat="1" applyFont="1" applyFill="1" applyBorder="1" applyAlignment="1" applyProtection="1">
      <alignment horizontal="right" vertical="center"/>
    </xf>
    <xf numFmtId="49" fontId="3" fillId="0" borderId="13" xfId="0" applyNumberFormat="1" applyFont="1" applyFill="1" applyBorder="1" applyAlignment="1" applyProtection="1">
      <alignment horizontal="center" vertical="center"/>
    </xf>
    <xf numFmtId="49" fontId="3" fillId="0" borderId="14" xfId="0" applyNumberFormat="1" applyFont="1" applyFill="1" applyBorder="1" applyAlignment="1" applyProtection="1">
      <alignment horizontal="center" vertical="center"/>
    </xf>
    <xf numFmtId="49" fontId="6" fillId="0" borderId="0" xfId="0" applyNumberFormat="1" applyFont="1" applyFill="1" applyBorder="1" applyAlignment="1" applyProtection="1">
      <alignment horizontal="right" vertical="center"/>
    </xf>
    <xf numFmtId="49" fontId="7" fillId="0" borderId="0" xfId="0" applyNumberFormat="1" applyFont="1" applyFill="1" applyBorder="1" applyAlignment="1" applyProtection="1">
      <alignment horizontal="right" vertical="center"/>
    </xf>
    <xf numFmtId="49" fontId="6" fillId="0" borderId="4" xfId="0" applyNumberFormat="1" applyFont="1" applyFill="1" applyBorder="1" applyAlignment="1" applyProtection="1">
      <alignment horizontal="right" vertical="center"/>
    </xf>
    <xf numFmtId="0" fontId="1" fillId="0" borderId="15" xfId="0" applyNumberFormat="1" applyFont="1" applyFill="1" applyBorder="1" applyAlignment="1" applyProtection="1">
      <alignment vertical="center"/>
    </xf>
    <xf numFmtId="0" fontId="1" fillId="0" borderId="16" xfId="0" applyNumberFormat="1" applyFont="1" applyFill="1" applyBorder="1" applyAlignment="1" applyProtection="1">
      <alignment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right" vertical="center"/>
    </xf>
    <xf numFmtId="4" fontId="9" fillId="2" borderId="3" xfId="0" applyNumberFormat="1" applyFont="1" applyFill="1" applyBorder="1" applyAlignment="1" applyProtection="1">
      <alignment horizontal="right" vertical="center"/>
    </xf>
    <xf numFmtId="4" fontId="10" fillId="3" borderId="0" xfId="0" applyNumberFormat="1" applyFont="1" applyFill="1" applyBorder="1" applyAlignment="1" applyProtection="1">
      <alignment horizontal="right" vertical="center"/>
    </xf>
    <xf numFmtId="4" fontId="9" fillId="2" borderId="0" xfId="0" applyNumberFormat="1" applyFont="1" applyFill="1" applyBorder="1" applyAlignment="1" applyProtection="1">
      <alignment horizontal="right" vertical="center"/>
    </xf>
    <xf numFmtId="4" fontId="3" fillId="0" borderId="5" xfId="0" applyNumberFormat="1" applyFont="1" applyFill="1" applyBorder="1" applyAlignment="1" applyProtection="1">
      <alignment horizontal="right" vertical="center"/>
    </xf>
    <xf numFmtId="49" fontId="3" fillId="0" borderId="17" xfId="0" applyNumberFormat="1" applyFont="1" applyFill="1" applyBorder="1" applyAlignment="1" applyProtection="1">
      <alignment horizontal="left" vertical="center"/>
    </xf>
    <xf numFmtId="49" fontId="1" fillId="0" borderId="3" xfId="0" applyNumberFormat="1" applyFont="1" applyFill="1" applyBorder="1" applyAlignment="1" applyProtection="1">
      <alignment horizontal="left" vertical="center"/>
    </xf>
    <xf numFmtId="49" fontId="3" fillId="0" borderId="18" xfId="0" applyNumberFormat="1" applyFont="1" applyFill="1" applyBorder="1" applyAlignment="1" applyProtection="1">
      <alignment horizontal="left" vertical="center"/>
    </xf>
    <xf numFmtId="49" fontId="3" fillId="0" borderId="19" xfId="0" applyNumberFormat="1" applyFont="1" applyFill="1" applyBorder="1" applyAlignment="1" applyProtection="1">
      <alignment horizontal="left" vertical="center"/>
    </xf>
    <xf numFmtId="49" fontId="3" fillId="0" borderId="19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49" fontId="3" fillId="0" borderId="17" xfId="0" applyNumberFormat="1" applyFont="1" applyFill="1" applyBorder="1" applyAlignment="1" applyProtection="1">
      <alignment horizontal="center"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0" fontId="1" fillId="0" borderId="4" xfId="0" applyNumberFormat="1" applyFont="1" applyFill="1" applyBorder="1" applyAlignment="1" applyProtection="1">
      <alignment vertical="center"/>
    </xf>
    <xf numFmtId="49" fontId="13" fillId="5" borderId="20" xfId="0" applyNumberFormat="1" applyFont="1" applyFill="1" applyBorder="1" applyAlignment="1" applyProtection="1">
      <alignment horizontal="center" vertical="center"/>
    </xf>
    <xf numFmtId="49" fontId="14" fillId="0" borderId="21" xfId="0" applyNumberFormat="1" applyFont="1" applyFill="1" applyBorder="1" applyAlignment="1" applyProtection="1">
      <alignment horizontal="left" vertical="center"/>
    </xf>
    <xf numFmtId="49" fontId="14" fillId="0" borderId="22" xfId="0" applyNumberFormat="1" applyFont="1" applyFill="1" applyBorder="1" applyAlignment="1" applyProtection="1">
      <alignment horizontal="left" vertical="center"/>
    </xf>
    <xf numFmtId="0" fontId="1" fillId="0" borderId="23" xfId="0" applyNumberFormat="1" applyFont="1" applyFill="1" applyBorder="1" applyAlignment="1" applyProtection="1">
      <alignment vertical="center"/>
    </xf>
    <xf numFmtId="49" fontId="8" fillId="0" borderId="3" xfId="0" applyNumberFormat="1" applyFont="1" applyFill="1" applyBorder="1" applyAlignment="1" applyProtection="1">
      <alignment horizontal="left" vertical="center"/>
    </xf>
    <xf numFmtId="49" fontId="15" fillId="0" borderId="20" xfId="0" applyNumberFormat="1" applyFont="1" applyFill="1" applyBorder="1" applyAlignment="1" applyProtection="1">
      <alignment horizontal="left" vertical="center"/>
    </xf>
    <xf numFmtId="0" fontId="1" fillId="0" borderId="3" xfId="0" applyNumberFormat="1" applyFont="1" applyFill="1" applyBorder="1" applyAlignment="1" applyProtection="1">
      <alignment vertical="center"/>
    </xf>
    <xf numFmtId="0" fontId="1" fillId="0" borderId="24" xfId="0" applyNumberFormat="1" applyFont="1" applyFill="1" applyBorder="1" applyAlignment="1" applyProtection="1">
      <alignment vertical="center"/>
    </xf>
    <xf numFmtId="0" fontId="1" fillId="0" borderId="25" xfId="0" applyNumberFormat="1" applyFont="1" applyFill="1" applyBorder="1" applyAlignment="1" applyProtection="1">
      <alignment vertical="center"/>
    </xf>
    <xf numFmtId="4" fontId="15" fillId="0" borderId="20" xfId="0" applyNumberFormat="1" applyFont="1" applyFill="1" applyBorder="1" applyAlignment="1" applyProtection="1">
      <alignment horizontal="right" vertical="center"/>
    </xf>
    <xf numFmtId="49" fontId="15" fillId="0" borderId="20" xfId="0" applyNumberFormat="1" applyFont="1" applyFill="1" applyBorder="1" applyAlignment="1" applyProtection="1">
      <alignment horizontal="right" vertical="center"/>
    </xf>
    <xf numFmtId="4" fontId="15" fillId="0" borderId="11" xfId="0" applyNumberFormat="1" applyFont="1" applyFill="1" applyBorder="1" applyAlignment="1" applyProtection="1">
      <alignment horizontal="right" vertical="center"/>
    </xf>
    <xf numFmtId="0" fontId="1" fillId="0" borderId="26" xfId="0" applyNumberFormat="1" applyFont="1" applyFill="1" applyBorder="1" applyAlignment="1" applyProtection="1">
      <alignment vertical="center"/>
    </xf>
    <xf numFmtId="0" fontId="1" fillId="0" borderId="27" xfId="0" applyNumberFormat="1" applyFont="1" applyFill="1" applyBorder="1" applyAlignment="1" applyProtection="1">
      <alignment vertical="center"/>
    </xf>
    <xf numFmtId="0" fontId="1" fillId="0" borderId="28" xfId="0" applyNumberFormat="1" applyFont="1" applyFill="1" applyBorder="1" applyAlignment="1" applyProtection="1">
      <alignment vertical="center"/>
    </xf>
    <xf numFmtId="4" fontId="14" fillId="5" borderId="29" xfId="0" applyNumberFormat="1" applyFont="1" applyFill="1" applyBorder="1" applyAlignment="1" applyProtection="1">
      <alignment horizontal="right" vertical="center"/>
    </xf>
    <xf numFmtId="0" fontId="1" fillId="0" borderId="4" xfId="0" applyNumberFormat="1" applyFont="1" applyFill="1" applyBorder="1" applyAlignment="1" applyProtection="1"/>
    <xf numFmtId="164" fontId="6" fillId="0" borderId="0" xfId="0" applyNumberFormat="1" applyFont="1" applyFill="1" applyBorder="1" applyAlignment="1" applyProtection="1">
      <alignment horizontal="right"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164" fontId="7" fillId="0" borderId="0" xfId="0" applyNumberFormat="1" applyFont="1" applyFill="1" applyBorder="1" applyAlignment="1" applyProtection="1">
      <alignment horizontal="right" vertical="center"/>
    </xf>
    <xf numFmtId="164" fontId="6" fillId="0" borderId="4" xfId="0" applyNumberFormat="1" applyFont="1" applyFill="1" applyBorder="1" applyAlignment="1" applyProtection="1">
      <alignment horizontal="right" vertical="center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9" fillId="2" borderId="3" xfId="0" applyNumberFormat="1" applyFont="1" applyFill="1" applyBorder="1" applyAlignment="1" applyProtection="1">
      <alignment horizontal="left" vertical="center" wrapText="1"/>
    </xf>
    <xf numFmtId="49" fontId="10" fillId="3" borderId="0" xfId="0" applyNumberFormat="1" applyFont="1" applyFill="1" applyBorder="1" applyAlignment="1" applyProtection="1">
      <alignment horizontal="left" vertical="center" wrapText="1"/>
    </xf>
    <xf numFmtId="49" fontId="6" fillId="0" borderId="0" xfId="0" applyNumberFormat="1" applyFont="1" applyFill="1" applyBorder="1" applyAlignment="1" applyProtection="1">
      <alignment horizontal="left" vertical="center" wrapText="1"/>
    </xf>
    <xf numFmtId="49" fontId="11" fillId="0" borderId="0" xfId="0" applyNumberFormat="1" applyFont="1" applyFill="1" applyBorder="1" applyAlignment="1" applyProtection="1">
      <alignment horizontal="left" vertical="center" wrapText="1"/>
    </xf>
    <xf numFmtId="49" fontId="7" fillId="0" borderId="0" xfId="0" applyNumberFormat="1" applyFont="1" applyFill="1" applyBorder="1" applyAlignment="1" applyProtection="1">
      <alignment horizontal="left" vertical="center" wrapText="1"/>
    </xf>
    <xf numFmtId="49" fontId="9" fillId="2" borderId="0" xfId="0" applyNumberFormat="1" applyFont="1" applyFill="1" applyBorder="1" applyAlignment="1" applyProtection="1">
      <alignment horizontal="left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0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" fillId="4" borderId="32" xfId="0" applyNumberFormat="1" applyFont="1" applyFill="1" applyBorder="1" applyAlignment="1" applyProtection="1">
      <alignment vertical="center"/>
      <protection locked="0"/>
    </xf>
    <xf numFmtId="49" fontId="1" fillId="4" borderId="5" xfId="0" applyNumberFormat="1" applyFont="1" applyFill="1" applyBorder="1" applyAlignment="1" applyProtection="1">
      <alignment vertical="center"/>
      <protection locked="0"/>
    </xf>
    <xf numFmtId="0" fontId="1" fillId="4" borderId="5" xfId="0" applyNumberFormat="1" applyFont="1" applyFill="1" applyBorder="1" applyAlignment="1" applyProtection="1">
      <alignment vertical="center"/>
      <protection locked="0"/>
    </xf>
    <xf numFmtId="49" fontId="1" fillId="4" borderId="0" xfId="0" applyNumberFormat="1" applyFont="1" applyFill="1" applyBorder="1" applyAlignment="1" applyProtection="1">
      <alignment vertical="center"/>
      <protection locked="0"/>
    </xf>
    <xf numFmtId="49" fontId="15" fillId="0" borderId="16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5" fillId="0" borderId="41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49" fontId="15" fillId="0" borderId="42" xfId="0" applyNumberFormat="1" applyFont="1" applyFill="1" applyBorder="1" applyAlignment="1" applyProtection="1">
      <alignment horizontal="left" vertical="center"/>
    </xf>
    <xf numFmtId="0" fontId="15" fillId="0" borderId="32" xfId="0" applyNumberFormat="1" applyFont="1" applyFill="1" applyBorder="1" applyAlignment="1" applyProtection="1">
      <alignment horizontal="left" vertical="center"/>
    </xf>
    <xf numFmtId="0" fontId="15" fillId="0" borderId="43" xfId="0" applyNumberFormat="1" applyFont="1" applyFill="1" applyBorder="1" applyAlignment="1" applyProtection="1">
      <alignment horizontal="left" vertical="center"/>
    </xf>
    <xf numFmtId="49" fontId="15" fillId="0" borderId="39" xfId="0" applyNumberFormat="1" applyFont="1" applyFill="1" applyBorder="1" applyAlignment="1" applyProtection="1">
      <alignment horizontal="left" vertical="center"/>
    </xf>
    <xf numFmtId="0" fontId="15" fillId="0" borderId="3" xfId="0" applyNumberFormat="1" applyFont="1" applyFill="1" applyBorder="1" applyAlignment="1" applyProtection="1">
      <alignment horizontal="left" vertical="center"/>
    </xf>
    <xf numFmtId="0" fontId="15" fillId="0" borderId="40" xfId="0" applyNumberFormat="1" applyFont="1" applyFill="1" applyBorder="1" applyAlignment="1" applyProtection="1">
      <alignment horizontal="left" vertical="center"/>
    </xf>
    <xf numFmtId="49" fontId="14" fillId="5" borderId="28" xfId="0" applyNumberFormat="1" applyFont="1" applyFill="1" applyBorder="1" applyAlignment="1" applyProtection="1">
      <alignment horizontal="left" vertical="center"/>
    </xf>
    <xf numFmtId="0" fontId="14" fillId="5" borderId="38" xfId="0" applyNumberFormat="1" applyFont="1" applyFill="1" applyBorder="1" applyAlignment="1" applyProtection="1">
      <alignment horizontal="left" vertical="center"/>
    </xf>
    <xf numFmtId="49" fontId="14" fillId="0" borderId="28" xfId="0" applyNumberFormat="1" applyFont="1" applyFill="1" applyBorder="1" applyAlignment="1" applyProtection="1">
      <alignment horizontal="left" vertical="center"/>
    </xf>
    <xf numFmtId="0" fontId="14" fillId="0" borderId="29" xfId="0" applyNumberFormat="1" applyFont="1" applyFill="1" applyBorder="1" applyAlignment="1" applyProtection="1">
      <alignment horizontal="left" vertical="center"/>
    </xf>
    <xf numFmtId="49" fontId="15" fillId="0" borderId="28" xfId="0" applyNumberFormat="1" applyFont="1" applyFill="1" applyBorder="1" applyAlignment="1" applyProtection="1">
      <alignment horizontal="left" vertical="center"/>
    </xf>
    <xf numFmtId="0" fontId="15" fillId="0" borderId="29" xfId="0" applyNumberFormat="1" applyFont="1" applyFill="1" applyBorder="1" applyAlignment="1" applyProtection="1">
      <alignment horizontal="left" vertical="center"/>
    </xf>
    <xf numFmtId="49" fontId="12" fillId="0" borderId="38" xfId="0" applyNumberFormat="1" applyFont="1" applyFill="1" applyBorder="1" applyAlignment="1" applyProtection="1">
      <alignment horizontal="center" vertical="center"/>
    </xf>
    <xf numFmtId="0" fontId="12" fillId="0" borderId="38" xfId="0" applyNumberFormat="1" applyFont="1" applyFill="1" applyBorder="1" applyAlignment="1" applyProtection="1">
      <alignment horizontal="center" vertical="center"/>
    </xf>
    <xf numFmtId="49" fontId="16" fillId="0" borderId="28" xfId="0" applyNumberFormat="1" applyFont="1" applyFill="1" applyBorder="1" applyAlignment="1" applyProtection="1">
      <alignment horizontal="left" vertical="center"/>
    </xf>
    <xf numFmtId="0" fontId="16" fillId="0" borderId="29" xfId="0" applyNumberFormat="1" applyFont="1" applyFill="1" applyBorder="1" applyAlignment="1" applyProtection="1">
      <alignment horizontal="left" vertical="center"/>
    </xf>
    <xf numFmtId="49" fontId="1" fillId="0" borderId="27" xfId="0" applyNumberFormat="1" applyFont="1" applyFill="1" applyBorder="1" applyAlignment="1" applyProtection="1">
      <alignment horizontal="left" vertical="center"/>
    </xf>
    <xf numFmtId="0" fontId="1" fillId="0" borderId="27" xfId="0" applyNumberFormat="1" applyFont="1" applyFill="1" applyBorder="1" applyAlignment="1" applyProtection="1">
      <alignment horizontal="left" vertical="center"/>
    </xf>
    <xf numFmtId="0" fontId="1" fillId="0" borderId="15" xfId="0" applyNumberFormat="1" applyFont="1" applyFill="1" applyBorder="1" applyAlignment="1" applyProtection="1">
      <alignment horizontal="left" vertical="center" wrapText="1"/>
    </xf>
    <xf numFmtId="0" fontId="1" fillId="0" borderId="25" xfId="0" applyNumberFormat="1" applyFont="1" applyFill="1" applyBorder="1" applyAlignment="1" applyProtection="1">
      <alignment horizontal="left" vertical="center"/>
    </xf>
    <xf numFmtId="0" fontId="1" fillId="0" borderId="4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0" fontId="1" fillId="0" borderId="27" xfId="0" applyNumberFormat="1" applyFont="1" applyFill="1" applyBorder="1" applyAlignment="1" applyProtection="1">
      <alignment horizontal="left" vertical="center" wrapText="1"/>
    </xf>
    <xf numFmtId="0" fontId="1" fillId="0" borderId="37" xfId="0" applyNumberFormat="1" applyFont="1" applyFill="1" applyBorder="1" applyAlignment="1" applyProtection="1">
      <alignment horizontal="left" vertical="center"/>
    </xf>
    <xf numFmtId="0" fontId="1" fillId="0" borderId="15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1" fillId="0" borderId="30" xfId="0" applyNumberFormat="1" applyFont="1" applyFill="1" applyBorder="1" applyAlignment="1" applyProtection="1">
      <alignment horizontal="left" vertical="center" wrapText="1"/>
    </xf>
    <xf numFmtId="0" fontId="1" fillId="0" borderId="5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49" fontId="1" fillId="0" borderId="24" xfId="0" applyNumberFormat="1" applyFont="1" applyFill="1" applyBorder="1" applyAlignment="1" applyProtection="1">
      <alignment horizontal="left" vertical="center"/>
    </xf>
    <xf numFmtId="0" fontId="1" fillId="0" borderId="27" xfId="0" applyNumberFormat="1" applyFont="1" applyFill="1" applyBorder="1" applyAlignment="1" applyProtection="1">
      <alignment horizontal="center" vertical="center" wrapText="1"/>
    </xf>
    <xf numFmtId="0" fontId="1" fillId="0" borderId="33" xfId="0" applyNumberFormat="1" applyFont="1" applyFill="1" applyBorder="1" applyAlignment="1" applyProtection="1">
      <alignment horizontal="center" vertical="center" wrapText="1"/>
    </xf>
    <xf numFmtId="0" fontId="1" fillId="0" borderId="31" xfId="0" applyNumberFormat="1" applyFont="1" applyFill="1" applyBorder="1" applyAlignment="1" applyProtection="1">
      <alignment horizontal="left" vertical="center"/>
    </xf>
    <xf numFmtId="0" fontId="1" fillId="0" borderId="32" xfId="0" applyNumberFormat="1" applyFont="1" applyFill="1" applyBorder="1" applyAlignment="1" applyProtection="1">
      <alignment horizontal="left" vertical="center"/>
    </xf>
    <xf numFmtId="49" fontId="2" fillId="0" borderId="4" xfId="0" applyNumberFormat="1" applyFont="1" applyFill="1" applyBorder="1" applyAlignment="1" applyProtection="1">
      <alignment horizontal="center"/>
    </xf>
    <xf numFmtId="0" fontId="1" fillId="0" borderId="24" xfId="0" applyNumberFormat="1" applyFont="1" applyFill="1" applyBorder="1" applyAlignment="1" applyProtection="1">
      <alignment horizontal="center" vertical="center" wrapText="1"/>
    </xf>
    <xf numFmtId="49" fontId="3" fillId="0" borderId="34" xfId="0" applyNumberFormat="1" applyFont="1" applyFill="1" applyBorder="1" applyAlignment="1" applyProtection="1">
      <alignment horizontal="center" vertical="center"/>
    </xf>
    <xf numFmtId="0" fontId="3" fillId="0" borderId="35" xfId="0" applyNumberFormat="1" applyFont="1" applyFill="1" applyBorder="1" applyAlignment="1" applyProtection="1">
      <alignment horizontal="center" vertical="center"/>
    </xf>
    <xf numFmtId="0" fontId="3" fillId="0" borderId="36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Fill="1" applyBorder="1" applyAlignment="1" applyProtection="1">
      <alignment horizontal="left" vertical="center"/>
    </xf>
    <xf numFmtId="0" fontId="1" fillId="0" borderId="32" xfId="0" applyNumberFormat="1" applyFont="1" applyFill="1" applyBorder="1" applyAlignment="1" applyProtection="1">
      <alignment horizontal="left" vertical="center" wrapText="1"/>
    </xf>
    <xf numFmtId="0" fontId="1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32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3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49" fontId="1" fillId="0" borderId="5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000000"/>
      <rgbColor rgb="00DBDBDB"/>
      <rgbColor rgb="00000000"/>
      <rgbColor rgb="00C0C0C0"/>
      <rgbColor rgb="00000000"/>
      <rgbColor rgb="00C0C0C0"/>
      <rgbColor rgb="00000000"/>
      <rgbColor rgb="00000000"/>
      <rgbColor rgb="00000000"/>
      <rgbColor rgb="00000000"/>
      <rgbColor rgb="00000000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topLeftCell="B2" workbookViewId="0">
      <selection activeCell="I8" sqref="I8:I9"/>
    </sheetView>
  </sheetViews>
  <sheetFormatPr defaultColWidth="11.5703125" defaultRowHeight="12.7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2.85546875" customWidth="1"/>
    <col min="9" max="9" width="22.85546875" customWidth="1"/>
  </cols>
  <sheetData>
    <row r="1" spans="1:10" ht="72.95" customHeight="1">
      <c r="A1" s="75"/>
      <c r="B1" s="58"/>
      <c r="C1" s="125" t="s">
        <v>739</v>
      </c>
      <c r="D1" s="126"/>
      <c r="E1" s="126"/>
      <c r="F1" s="126"/>
      <c r="G1" s="126"/>
      <c r="H1" s="126"/>
      <c r="I1" s="126"/>
    </row>
    <row r="2" spans="1:10">
      <c r="A2" s="127" t="s">
        <v>1</v>
      </c>
      <c r="B2" s="128"/>
      <c r="C2" s="129" t="str">
        <f>'Stavební rozpočet'!D2</f>
        <v>STAVEBNÍ ÚPRAVY OBJEKTU M1, M2 - KLINIKA NEUROLOGIE</v>
      </c>
      <c r="D2" s="130"/>
      <c r="E2" s="132" t="s">
        <v>633</v>
      </c>
      <c r="F2" s="132" t="str">
        <f>'Stavební rozpočet'!K2</f>
        <v>Fakultní nemocnice Olomouc</v>
      </c>
      <c r="G2" s="128"/>
      <c r="H2" s="132" t="s">
        <v>764</v>
      </c>
      <c r="I2" s="133" t="s">
        <v>768</v>
      </c>
      <c r="J2" s="41"/>
    </row>
    <row r="3" spans="1:10">
      <c r="A3" s="124"/>
      <c r="B3" s="99"/>
      <c r="C3" s="131"/>
      <c r="D3" s="131"/>
      <c r="E3" s="99"/>
      <c r="F3" s="99"/>
      <c r="G3" s="99"/>
      <c r="H3" s="99"/>
      <c r="I3" s="117"/>
      <c r="J3" s="41"/>
    </row>
    <row r="4" spans="1:10">
      <c r="A4" s="118" t="s">
        <v>2</v>
      </c>
      <c r="B4" s="99"/>
      <c r="C4" s="98" t="str">
        <f>'Stavební rozpočet'!D4</f>
        <v xml:space="preserve"> </v>
      </c>
      <c r="D4" s="99"/>
      <c r="E4" s="98" t="s">
        <v>634</v>
      </c>
      <c r="F4" s="98" t="str">
        <f>'Stavební rozpočet'!K4</f>
        <v xml:space="preserve"> </v>
      </c>
      <c r="G4" s="99"/>
      <c r="H4" s="98" t="s">
        <v>764</v>
      </c>
      <c r="I4" s="116"/>
      <c r="J4" s="41"/>
    </row>
    <row r="5" spans="1:10">
      <c r="A5" s="124"/>
      <c r="B5" s="99"/>
      <c r="C5" s="99"/>
      <c r="D5" s="99"/>
      <c r="E5" s="99"/>
      <c r="F5" s="99"/>
      <c r="G5" s="99"/>
      <c r="H5" s="99"/>
      <c r="I5" s="117"/>
      <c r="J5" s="41"/>
    </row>
    <row r="6" spans="1:10">
      <c r="A6" s="118" t="s">
        <v>3</v>
      </c>
      <c r="B6" s="99"/>
      <c r="C6" s="98" t="str">
        <f>'Stavební rozpočet'!D6</f>
        <v>Olomouc</v>
      </c>
      <c r="D6" s="99"/>
      <c r="E6" s="98" t="s">
        <v>635</v>
      </c>
      <c r="F6" s="98" t="s">
        <v>775</v>
      </c>
      <c r="G6" s="99"/>
      <c r="H6" s="98" t="s">
        <v>764</v>
      </c>
      <c r="I6" s="116" t="s">
        <v>776</v>
      </c>
      <c r="J6" s="41"/>
    </row>
    <row r="7" spans="1:10">
      <c r="A7" s="124"/>
      <c r="B7" s="99"/>
      <c r="C7" s="99"/>
      <c r="D7" s="99"/>
      <c r="E7" s="99"/>
      <c r="F7" s="99"/>
      <c r="G7" s="99"/>
      <c r="H7" s="99"/>
      <c r="I7" s="117"/>
      <c r="J7" s="41"/>
    </row>
    <row r="8" spans="1:10">
      <c r="A8" s="118" t="s">
        <v>616</v>
      </c>
      <c r="B8" s="99"/>
      <c r="C8" s="98" t="str">
        <f>'Stavební rozpočet'!G4</f>
        <v>17.07.2018</v>
      </c>
      <c r="D8" s="99"/>
      <c r="E8" s="98" t="s">
        <v>617</v>
      </c>
      <c r="F8" s="98" t="str">
        <f>'Stavební rozpočet'!G6</f>
        <v xml:space="preserve"> </v>
      </c>
      <c r="G8" s="99"/>
      <c r="H8" s="121" t="s">
        <v>765</v>
      </c>
      <c r="I8" s="116" t="s">
        <v>190</v>
      </c>
      <c r="J8" s="41"/>
    </row>
    <row r="9" spans="1:10">
      <c r="A9" s="124"/>
      <c r="B9" s="99"/>
      <c r="C9" s="99"/>
      <c r="D9" s="99"/>
      <c r="E9" s="99"/>
      <c r="F9" s="99"/>
      <c r="G9" s="99"/>
      <c r="H9" s="99"/>
      <c r="I9" s="117"/>
      <c r="J9" s="41"/>
    </row>
    <row r="10" spans="1:10">
      <c r="A10" s="118" t="s">
        <v>4</v>
      </c>
      <c r="B10" s="99"/>
      <c r="C10" s="98" t="str">
        <f>'Stavební rozpočet'!D8</f>
        <v xml:space="preserve"> </v>
      </c>
      <c r="D10" s="99"/>
      <c r="E10" s="98" t="s">
        <v>636</v>
      </c>
      <c r="F10" s="98" t="str">
        <f>'Stavební rozpočet'!K8</f>
        <v xml:space="preserve"> </v>
      </c>
      <c r="G10" s="99"/>
      <c r="H10" s="121" t="s">
        <v>766</v>
      </c>
      <c r="I10" s="122" t="str">
        <f>'Stavební rozpočet'!G8</f>
        <v>17.07.2018</v>
      </c>
      <c r="J10" s="41"/>
    </row>
    <row r="11" spans="1:10">
      <c r="A11" s="119"/>
      <c r="B11" s="120"/>
      <c r="C11" s="120"/>
      <c r="D11" s="120"/>
      <c r="E11" s="120"/>
      <c r="F11" s="120"/>
      <c r="G11" s="120"/>
      <c r="H11" s="120"/>
      <c r="I11" s="123"/>
      <c r="J11" s="41"/>
    </row>
    <row r="12" spans="1:10" ht="23.45" customHeight="1">
      <c r="A12" s="112" t="s">
        <v>724</v>
      </c>
      <c r="B12" s="113"/>
      <c r="C12" s="113"/>
      <c r="D12" s="113"/>
      <c r="E12" s="113"/>
      <c r="F12" s="113"/>
      <c r="G12" s="113"/>
      <c r="H12" s="113"/>
      <c r="I12" s="113"/>
    </row>
    <row r="13" spans="1:10" ht="26.45" customHeight="1">
      <c r="A13" s="59" t="s">
        <v>725</v>
      </c>
      <c r="B13" s="114" t="s">
        <v>737</v>
      </c>
      <c r="C13" s="115"/>
      <c r="D13" s="59" t="s">
        <v>740</v>
      </c>
      <c r="E13" s="114" t="s">
        <v>749</v>
      </c>
      <c r="F13" s="115"/>
      <c r="G13" s="59" t="s">
        <v>750</v>
      </c>
      <c r="H13" s="114" t="s">
        <v>767</v>
      </c>
      <c r="I13" s="115"/>
      <c r="J13" s="41"/>
    </row>
    <row r="14" spans="1:10" ht="15.2" customHeight="1">
      <c r="A14" s="60" t="s">
        <v>726</v>
      </c>
      <c r="B14" s="64" t="s">
        <v>738</v>
      </c>
      <c r="C14" s="68">
        <f>SUM('Stavební rozpočet'!R12:R371)</f>
        <v>110079.57339532222</v>
      </c>
      <c r="D14" s="110" t="s">
        <v>741</v>
      </c>
      <c r="E14" s="111"/>
      <c r="F14" s="68">
        <v>0</v>
      </c>
      <c r="G14" s="110" t="s">
        <v>751</v>
      </c>
      <c r="H14" s="111"/>
      <c r="I14" s="68">
        <v>20000</v>
      </c>
      <c r="J14" s="41"/>
    </row>
    <row r="15" spans="1:10" ht="15.2" customHeight="1">
      <c r="A15" s="61"/>
      <c r="B15" s="64" t="s">
        <v>637</v>
      </c>
      <c r="C15" s="68">
        <f>SUM('Stavební rozpočet'!S12:S371)</f>
        <v>324901.0524746778</v>
      </c>
      <c r="D15" s="110" t="s">
        <v>742</v>
      </c>
      <c r="E15" s="111"/>
      <c r="F15" s="68">
        <v>0</v>
      </c>
      <c r="G15" s="110" t="s">
        <v>752</v>
      </c>
      <c r="H15" s="111"/>
      <c r="I15" s="68">
        <v>0</v>
      </c>
      <c r="J15" s="41"/>
    </row>
    <row r="16" spans="1:10" ht="15.2" customHeight="1">
      <c r="A16" s="60" t="s">
        <v>727</v>
      </c>
      <c r="B16" s="64" t="s">
        <v>738</v>
      </c>
      <c r="C16" s="68">
        <f>SUM('Stavební rozpočet'!T12:T371)</f>
        <v>504089.7408183089</v>
      </c>
      <c r="D16" s="110" t="s">
        <v>743</v>
      </c>
      <c r="E16" s="111"/>
      <c r="F16" s="68">
        <v>0</v>
      </c>
      <c r="G16" s="110" t="s">
        <v>753</v>
      </c>
      <c r="H16" s="111"/>
      <c r="I16" s="68">
        <v>0</v>
      </c>
      <c r="J16" s="41"/>
    </row>
    <row r="17" spans="1:10" ht="15.2" customHeight="1">
      <c r="A17" s="61"/>
      <c r="B17" s="64" t="s">
        <v>637</v>
      </c>
      <c r="C17" s="68">
        <f>SUM('Stavební rozpočet'!U12:U371)</f>
        <v>1665008.5164816917</v>
      </c>
      <c r="D17" s="110"/>
      <c r="E17" s="111"/>
      <c r="F17" s="69"/>
      <c r="G17" s="110" t="s">
        <v>754</v>
      </c>
      <c r="H17" s="111"/>
      <c r="I17" s="68">
        <v>0</v>
      </c>
      <c r="J17" s="41"/>
    </row>
    <row r="18" spans="1:10" ht="15.2" customHeight="1">
      <c r="A18" s="60" t="s">
        <v>728</v>
      </c>
      <c r="B18" s="64" t="s">
        <v>738</v>
      </c>
      <c r="C18" s="68">
        <f>SUM('Stavební rozpočet'!V12:V371)</f>
        <v>0</v>
      </c>
      <c r="D18" s="110"/>
      <c r="E18" s="111"/>
      <c r="F18" s="69"/>
      <c r="G18" s="110" t="s">
        <v>755</v>
      </c>
      <c r="H18" s="111"/>
      <c r="I18" s="68">
        <v>0</v>
      </c>
      <c r="J18" s="41"/>
    </row>
    <row r="19" spans="1:10" ht="15.2" customHeight="1">
      <c r="A19" s="61"/>
      <c r="B19" s="64" t="s">
        <v>637</v>
      </c>
      <c r="C19" s="68">
        <f>SUM('Stavební rozpočet'!W12:W371)</f>
        <v>0</v>
      </c>
      <c r="D19" s="110"/>
      <c r="E19" s="111"/>
      <c r="F19" s="69"/>
      <c r="G19" s="110" t="s">
        <v>756</v>
      </c>
      <c r="H19" s="111"/>
      <c r="I19" s="68">
        <v>0</v>
      </c>
      <c r="J19" s="41"/>
    </row>
    <row r="20" spans="1:10" ht="15.2" customHeight="1">
      <c r="A20" s="108" t="s">
        <v>729</v>
      </c>
      <c r="B20" s="109"/>
      <c r="C20" s="68">
        <f>SUM('Stavební rozpočet'!X12:X371)</f>
        <v>0</v>
      </c>
      <c r="D20" s="110"/>
      <c r="E20" s="111"/>
      <c r="F20" s="69"/>
      <c r="G20" s="110"/>
      <c r="H20" s="111"/>
      <c r="I20" s="69"/>
      <c r="J20" s="41"/>
    </row>
    <row r="21" spans="1:10" ht="15.2" customHeight="1">
      <c r="A21" s="108" t="s">
        <v>730</v>
      </c>
      <c r="B21" s="109"/>
      <c r="C21" s="68">
        <f>SUM('Stavební rozpočet'!P12:P371)</f>
        <v>125138.00060000003</v>
      </c>
      <c r="D21" s="110"/>
      <c r="E21" s="111"/>
      <c r="F21" s="69"/>
      <c r="G21" s="110"/>
      <c r="H21" s="111"/>
      <c r="I21" s="69"/>
      <c r="J21" s="41"/>
    </row>
    <row r="22" spans="1:10" ht="16.7" customHeight="1">
      <c r="A22" s="108" t="s">
        <v>731</v>
      </c>
      <c r="B22" s="109"/>
      <c r="C22" s="68">
        <f>SUM(C14:C21)</f>
        <v>2729216.8837700007</v>
      </c>
      <c r="D22" s="108" t="s">
        <v>744</v>
      </c>
      <c r="E22" s="109"/>
      <c r="F22" s="68">
        <f>SUM(F14:F21)</f>
        <v>0</v>
      </c>
      <c r="G22" s="108" t="s">
        <v>757</v>
      </c>
      <c r="H22" s="109"/>
      <c r="I22" s="68">
        <f>SUM(I14:I21)</f>
        <v>20000</v>
      </c>
      <c r="J22" s="41"/>
    </row>
    <row r="23" spans="1:10" ht="15.2" customHeight="1">
      <c r="A23" s="9"/>
      <c r="B23" s="9"/>
      <c r="C23" s="66"/>
      <c r="D23" s="108" t="s">
        <v>745</v>
      </c>
      <c r="E23" s="109"/>
      <c r="F23" s="70">
        <v>0</v>
      </c>
      <c r="G23" s="108" t="s">
        <v>758</v>
      </c>
      <c r="H23" s="109"/>
      <c r="I23" s="68">
        <v>0</v>
      </c>
      <c r="J23" s="41"/>
    </row>
    <row r="24" spans="1:10" ht="15.2" customHeight="1">
      <c r="D24" s="9"/>
      <c r="E24" s="9"/>
      <c r="F24" s="71"/>
      <c r="G24" s="108" t="s">
        <v>759</v>
      </c>
      <c r="H24" s="109"/>
      <c r="I24" s="73"/>
    </row>
    <row r="25" spans="1:10" ht="15.2" customHeight="1">
      <c r="F25" s="72"/>
      <c r="G25" s="108" t="s">
        <v>760</v>
      </c>
      <c r="H25" s="109"/>
      <c r="I25" s="68">
        <v>0</v>
      </c>
      <c r="J25" s="41"/>
    </row>
    <row r="26" spans="1:10">
      <c r="A26" s="58"/>
      <c r="B26" s="58"/>
      <c r="C26" s="58"/>
      <c r="G26" s="9"/>
      <c r="H26" s="9"/>
      <c r="I26" s="9"/>
    </row>
    <row r="27" spans="1:10" ht="15.2" customHeight="1">
      <c r="A27" s="106" t="s">
        <v>732</v>
      </c>
      <c r="B27" s="107"/>
      <c r="C27" s="74">
        <f>SUM('Stavební rozpočet'!Z12:Z371)</f>
        <v>0</v>
      </c>
      <c r="D27" s="67"/>
      <c r="E27" s="58"/>
      <c r="F27" s="58"/>
      <c r="G27" s="58"/>
      <c r="H27" s="58"/>
      <c r="I27" s="58"/>
    </row>
    <row r="28" spans="1:10" ht="15.2" customHeight="1">
      <c r="A28" s="106" t="s">
        <v>733</v>
      </c>
      <c r="B28" s="107"/>
      <c r="C28" s="74">
        <f>SUM('Stavební rozpočet'!AA12:AA371)</f>
        <v>0</v>
      </c>
      <c r="D28" s="106" t="s">
        <v>746</v>
      </c>
      <c r="E28" s="107"/>
      <c r="F28" s="74">
        <f>ROUND(C28*(15/100),2)</f>
        <v>0</v>
      </c>
      <c r="G28" s="106" t="s">
        <v>761</v>
      </c>
      <c r="H28" s="107"/>
      <c r="I28" s="74">
        <f>SUM(C27:C29)</f>
        <v>2749216.8837700011</v>
      </c>
      <c r="J28" s="41"/>
    </row>
    <row r="29" spans="1:10" ht="15.2" customHeight="1">
      <c r="A29" s="106" t="s">
        <v>734</v>
      </c>
      <c r="B29" s="107"/>
      <c r="C29" s="74">
        <f>SUM('Stavební rozpočet'!AB12:AB371)+(F22+I22+F23+I23+I24+I25)</f>
        <v>2749216.8837700011</v>
      </c>
      <c r="D29" s="106" t="s">
        <v>747</v>
      </c>
      <c r="E29" s="107"/>
      <c r="F29" s="74">
        <f>ROUND(C29*(21/100),2)</f>
        <v>577335.55000000005</v>
      </c>
      <c r="G29" s="106" t="s">
        <v>762</v>
      </c>
      <c r="H29" s="107"/>
      <c r="I29" s="74">
        <f>SUM(F28:F29)+I28</f>
        <v>3326552.4337700009</v>
      </c>
      <c r="J29" s="41"/>
    </row>
    <row r="30" spans="1:10">
      <c r="A30" s="62"/>
      <c r="B30" s="62"/>
      <c r="C30" s="62"/>
      <c r="D30" s="62"/>
      <c r="E30" s="62"/>
      <c r="F30" s="62"/>
      <c r="G30" s="62"/>
      <c r="H30" s="62"/>
      <c r="I30" s="62"/>
    </row>
    <row r="31" spans="1:10" ht="14.45" customHeight="1">
      <c r="A31" s="103" t="s">
        <v>735</v>
      </c>
      <c r="B31" s="104"/>
      <c r="C31" s="105"/>
      <c r="D31" s="103" t="s">
        <v>748</v>
      </c>
      <c r="E31" s="104"/>
      <c r="F31" s="105"/>
      <c r="G31" s="103" t="s">
        <v>763</v>
      </c>
      <c r="H31" s="104"/>
      <c r="I31" s="105"/>
      <c r="J31" s="42"/>
    </row>
    <row r="32" spans="1:10" ht="14.45" customHeight="1">
      <c r="A32" s="95"/>
      <c r="B32" s="96"/>
      <c r="C32" s="97"/>
      <c r="D32" s="95"/>
      <c r="E32" s="96"/>
      <c r="F32" s="97"/>
      <c r="G32" s="95"/>
      <c r="H32" s="96"/>
      <c r="I32" s="97"/>
      <c r="J32" s="42"/>
    </row>
    <row r="33" spans="1:10" ht="14.45" customHeight="1">
      <c r="A33" s="95"/>
      <c r="B33" s="96"/>
      <c r="C33" s="97"/>
      <c r="D33" s="95"/>
      <c r="E33" s="96"/>
      <c r="F33" s="97"/>
      <c r="G33" s="95"/>
      <c r="H33" s="96"/>
      <c r="I33" s="97"/>
      <c r="J33" s="42"/>
    </row>
    <row r="34" spans="1:10" ht="14.45" customHeight="1">
      <c r="A34" s="95"/>
      <c r="B34" s="96"/>
      <c r="C34" s="97"/>
      <c r="D34" s="95"/>
      <c r="E34" s="96"/>
      <c r="F34" s="97"/>
      <c r="G34" s="95"/>
      <c r="H34" s="96"/>
      <c r="I34" s="97"/>
      <c r="J34" s="42"/>
    </row>
    <row r="35" spans="1:10" ht="14.45" customHeight="1">
      <c r="A35" s="100" t="s">
        <v>736</v>
      </c>
      <c r="B35" s="101"/>
      <c r="C35" s="102"/>
      <c r="D35" s="100" t="s">
        <v>736</v>
      </c>
      <c r="E35" s="101"/>
      <c r="F35" s="102"/>
      <c r="G35" s="100" t="s">
        <v>736</v>
      </c>
      <c r="H35" s="101"/>
      <c r="I35" s="102"/>
      <c r="J35" s="42"/>
    </row>
    <row r="36" spans="1:10" ht="11.25" customHeight="1">
      <c r="A36" s="63" t="s">
        <v>191</v>
      </c>
      <c r="B36" s="65"/>
      <c r="C36" s="65"/>
      <c r="D36" s="65"/>
      <c r="E36" s="65"/>
      <c r="F36" s="65"/>
      <c r="G36" s="65"/>
      <c r="H36" s="65"/>
      <c r="I36" s="65"/>
    </row>
    <row r="37" spans="1:10">
      <c r="A37" s="98"/>
      <c r="B37" s="99"/>
      <c r="C37" s="99"/>
      <c r="D37" s="99"/>
      <c r="E37" s="99"/>
      <c r="F37" s="99"/>
      <c r="G37" s="99"/>
      <c r="H37" s="99"/>
      <c r="I37" s="99"/>
    </row>
  </sheetData>
  <mergeCells count="83">
    <mergeCell ref="C1:I1"/>
    <mergeCell ref="A2:B3"/>
    <mergeCell ref="C2:D3"/>
    <mergeCell ref="E2:E3"/>
    <mergeCell ref="F2:G3"/>
    <mergeCell ref="H2:H3"/>
    <mergeCell ref="I2:I3"/>
    <mergeCell ref="I4:I5"/>
    <mergeCell ref="A6:B7"/>
    <mergeCell ref="C6:D7"/>
    <mergeCell ref="E6:E7"/>
    <mergeCell ref="F6:G7"/>
    <mergeCell ref="H6:H7"/>
    <mergeCell ref="I6:I7"/>
    <mergeCell ref="A4:B5"/>
    <mergeCell ref="C4:D5"/>
    <mergeCell ref="E4:E5"/>
    <mergeCell ref="F4:G5"/>
    <mergeCell ref="H4:H5"/>
    <mergeCell ref="I8:I9"/>
    <mergeCell ref="A10:B11"/>
    <mergeCell ref="C10:D11"/>
    <mergeCell ref="E10:E11"/>
    <mergeCell ref="F10:G11"/>
    <mergeCell ref="H10:H11"/>
    <mergeCell ref="I10:I11"/>
    <mergeCell ref="A8:B9"/>
    <mergeCell ref="C8:D9"/>
    <mergeCell ref="E8:E9"/>
    <mergeCell ref="F8:G9"/>
    <mergeCell ref="H8:H9"/>
    <mergeCell ref="A12:I12"/>
    <mergeCell ref="B13:C13"/>
    <mergeCell ref="E13:F13"/>
    <mergeCell ref="H13:I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A20:B20"/>
    <mergeCell ref="D20:E20"/>
    <mergeCell ref="G20:H20"/>
    <mergeCell ref="A21:B21"/>
    <mergeCell ref="D21:E21"/>
    <mergeCell ref="G21:H21"/>
    <mergeCell ref="A22:B22"/>
    <mergeCell ref="D22:E22"/>
    <mergeCell ref="G22:H22"/>
    <mergeCell ref="D23:E23"/>
    <mergeCell ref="G23:H23"/>
    <mergeCell ref="G24:H24"/>
    <mergeCell ref="G25:H25"/>
    <mergeCell ref="A27:B27"/>
    <mergeCell ref="A28:B28"/>
    <mergeCell ref="D28:E28"/>
    <mergeCell ref="G28:H28"/>
    <mergeCell ref="A29:B29"/>
    <mergeCell ref="D29:E29"/>
    <mergeCell ref="G29:H29"/>
    <mergeCell ref="A31:C31"/>
    <mergeCell ref="D31:F31"/>
    <mergeCell ref="G31:I31"/>
    <mergeCell ref="A32:C32"/>
    <mergeCell ref="D32:F32"/>
    <mergeCell ref="G32:I32"/>
    <mergeCell ref="A33:C33"/>
    <mergeCell ref="D33:F33"/>
    <mergeCell ref="G33:I33"/>
    <mergeCell ref="A37:I37"/>
    <mergeCell ref="A34:C34"/>
    <mergeCell ref="D34:F34"/>
    <mergeCell ref="G34:I34"/>
    <mergeCell ref="A35:C35"/>
    <mergeCell ref="D35:F35"/>
    <mergeCell ref="G35:I35"/>
  </mergeCells>
  <pageMargins left="0.39400000000000002" right="0.39400000000000002" top="0.59099999999999997" bottom="0.59099999999999997" header="0.5" footer="0.5"/>
  <pageSetup paperSize="9" scale="8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9"/>
  <sheetViews>
    <sheetView workbookViewId="0">
      <pane ySplit="10" topLeftCell="A11" activePane="bottomLeft" state="frozenSplit"/>
      <selection pane="bottomLeft" activeCell="G8" sqref="G8:G9"/>
    </sheetView>
  </sheetViews>
  <sheetFormatPr defaultColWidth="11.5703125" defaultRowHeight="12.75"/>
  <cols>
    <col min="1" max="2" width="16.5703125" customWidth="1"/>
    <col min="3" max="3" width="41.7109375" customWidth="1"/>
    <col min="4" max="4" width="22.140625" hidden="1" customWidth="1"/>
    <col min="5" max="5" width="21" hidden="1" customWidth="1"/>
    <col min="6" max="6" width="20.85546875" customWidth="1"/>
    <col min="7" max="7" width="19.7109375" customWidth="1"/>
    <col min="8" max="9" width="0" hidden="1" customWidth="1"/>
  </cols>
  <sheetData>
    <row r="1" spans="1:9" ht="72.95" customHeight="1">
      <c r="A1" s="138" t="s">
        <v>717</v>
      </c>
      <c r="B1" s="126"/>
      <c r="C1" s="126"/>
      <c r="D1" s="126"/>
      <c r="E1" s="126"/>
      <c r="F1" s="126"/>
      <c r="G1" s="126"/>
    </row>
    <row r="2" spans="1:9" ht="12.75" customHeight="1">
      <c r="A2" s="127" t="s">
        <v>1</v>
      </c>
      <c r="B2" s="129" t="str">
        <f>'Stavební rozpočet'!D2</f>
        <v>STAVEBNÍ ÚPRAVY OBJEKTU M1, M2 - KLINIKA NEUROLOGIE</v>
      </c>
      <c r="C2" s="130"/>
      <c r="F2" s="132" t="s">
        <v>633</v>
      </c>
      <c r="G2" s="139" t="str">
        <f>'Stavební rozpočet'!K2</f>
        <v>Fakultní nemocnice Olomouc</v>
      </c>
      <c r="H2" s="41"/>
    </row>
    <row r="3" spans="1:9">
      <c r="A3" s="124"/>
      <c r="B3" s="131"/>
      <c r="C3" s="131"/>
      <c r="F3" s="99"/>
      <c r="G3" s="134"/>
      <c r="H3" s="41"/>
    </row>
    <row r="4" spans="1:9">
      <c r="A4" s="118" t="s">
        <v>2</v>
      </c>
      <c r="B4" s="98" t="str">
        <f>'Stavební rozpočet'!D4</f>
        <v xml:space="preserve"> </v>
      </c>
      <c r="C4" s="99"/>
      <c r="F4" s="98" t="s">
        <v>634</v>
      </c>
      <c r="G4" s="134" t="str">
        <f>'Stavební rozpočet'!K4</f>
        <v xml:space="preserve"> </v>
      </c>
      <c r="H4" s="41"/>
    </row>
    <row r="5" spans="1:9">
      <c r="A5" s="124"/>
      <c r="B5" s="99"/>
      <c r="C5" s="99"/>
      <c r="F5" s="99"/>
      <c r="G5" s="134"/>
      <c r="H5" s="41"/>
    </row>
    <row r="6" spans="1:9">
      <c r="A6" s="118" t="s">
        <v>3</v>
      </c>
      <c r="B6" s="98" t="str">
        <f>'Stavební rozpočet'!D6</f>
        <v>Olomouc</v>
      </c>
      <c r="C6" s="99"/>
      <c r="F6" s="98" t="s">
        <v>635</v>
      </c>
      <c r="G6" s="134" t="str">
        <f>'Stavební rozpočet'!K6</f>
        <v xml:space="preserve"> </v>
      </c>
      <c r="H6" s="41"/>
    </row>
    <row r="7" spans="1:9">
      <c r="A7" s="124"/>
      <c r="B7" s="99"/>
      <c r="C7" s="99"/>
      <c r="F7" s="99"/>
      <c r="G7" s="134"/>
      <c r="H7" s="41"/>
    </row>
    <row r="8" spans="1:9">
      <c r="A8" s="118" t="s">
        <v>636</v>
      </c>
      <c r="B8" s="98" t="str">
        <f>'Stavební rozpočet'!K8</f>
        <v xml:space="preserve"> </v>
      </c>
      <c r="C8" s="99"/>
      <c r="F8" s="121" t="s">
        <v>618</v>
      </c>
      <c r="G8" s="134" t="str">
        <f>'Stavební rozpočet'!G8</f>
        <v>17.07.2018</v>
      </c>
      <c r="H8" s="41"/>
    </row>
    <row r="9" spans="1:9" ht="13.5" thickBot="1">
      <c r="A9" s="136"/>
      <c r="B9" s="137"/>
      <c r="C9" s="137"/>
      <c r="F9" s="137"/>
      <c r="G9" s="135"/>
      <c r="H9" s="41"/>
    </row>
    <row r="10" spans="1:9" ht="13.5" thickBot="1">
      <c r="A10" s="49" t="s">
        <v>192</v>
      </c>
      <c r="B10" s="51" t="s">
        <v>201</v>
      </c>
      <c r="C10" s="52" t="s">
        <v>345</v>
      </c>
      <c r="D10" s="53" t="s">
        <v>718</v>
      </c>
      <c r="E10" s="53" t="s">
        <v>719</v>
      </c>
      <c r="F10" s="53" t="s">
        <v>720</v>
      </c>
      <c r="G10" s="55" t="s">
        <v>721</v>
      </c>
      <c r="H10" s="42"/>
    </row>
    <row r="11" spans="1:9">
      <c r="A11" s="50" t="s">
        <v>193</v>
      </c>
      <c r="B11" s="50"/>
      <c r="C11" s="50" t="s">
        <v>347</v>
      </c>
      <c r="D11" s="56">
        <f>'Stavební rozpočet'!H12</f>
        <v>12445.92446844068</v>
      </c>
      <c r="E11" s="56">
        <f>'Stavební rozpočet'!I12</f>
        <v>66171.376531559319</v>
      </c>
      <c r="F11" s="56">
        <f t="shared" ref="F11:F42" si="0">D11+E11</f>
        <v>78617.301000000007</v>
      </c>
      <c r="G11" s="56">
        <f>'Stavební rozpočet'!L12</f>
        <v>7.6240673999999995</v>
      </c>
      <c r="H11" s="43" t="s">
        <v>722</v>
      </c>
      <c r="I11" s="43">
        <f t="shared" ref="I11:I42" si="1">IF(H11="F",0,F11)</f>
        <v>0</v>
      </c>
    </row>
    <row r="12" spans="1:9">
      <c r="A12" s="16" t="s">
        <v>193</v>
      </c>
      <c r="B12" s="16" t="s">
        <v>27</v>
      </c>
      <c r="C12" s="16" t="s">
        <v>348</v>
      </c>
      <c r="D12" s="43">
        <f>'Stavební rozpočet'!H13</f>
        <v>0</v>
      </c>
      <c r="E12" s="43">
        <f>'Stavební rozpočet'!I13</f>
        <v>10838.519999999999</v>
      </c>
      <c r="F12" s="43">
        <f t="shared" si="0"/>
        <v>10838.519999999999</v>
      </c>
      <c r="G12" s="43">
        <f>'Stavební rozpočet'!L13</f>
        <v>0</v>
      </c>
      <c r="H12" s="43" t="s">
        <v>723</v>
      </c>
      <c r="I12" s="43">
        <f t="shared" si="1"/>
        <v>10838.519999999999</v>
      </c>
    </row>
    <row r="13" spans="1:9">
      <c r="A13" s="16" t="s">
        <v>193</v>
      </c>
      <c r="B13" s="16" t="s">
        <v>68</v>
      </c>
      <c r="C13" s="16" t="s">
        <v>351</v>
      </c>
      <c r="D13" s="43">
        <f>'Stavební rozpočet'!H16</f>
        <v>10905.115644911268</v>
      </c>
      <c r="E13" s="43">
        <f>'Stavební rozpočet'!I16</f>
        <v>40261.144355088734</v>
      </c>
      <c r="F13" s="43">
        <f t="shared" si="0"/>
        <v>51166.26</v>
      </c>
      <c r="G13" s="43">
        <f>'Stavební rozpočet'!L16</f>
        <v>6.2448173999999996</v>
      </c>
      <c r="H13" s="43" t="s">
        <v>723</v>
      </c>
      <c r="I13" s="43">
        <f t="shared" si="1"/>
        <v>51166.26</v>
      </c>
    </row>
    <row r="14" spans="1:9">
      <c r="A14" s="16" t="s">
        <v>193</v>
      </c>
      <c r="B14" s="16" t="s">
        <v>100</v>
      </c>
      <c r="C14" s="16" t="s">
        <v>354</v>
      </c>
      <c r="D14" s="43">
        <f>'Stavební rozpočet'!H21</f>
        <v>1540.8088235294117</v>
      </c>
      <c r="E14" s="43">
        <f>'Stavební rozpočet'!I21</f>
        <v>12409.191176470587</v>
      </c>
      <c r="F14" s="43">
        <f t="shared" si="0"/>
        <v>13950</v>
      </c>
      <c r="G14" s="43">
        <f>'Stavební rozpočet'!L21</f>
        <v>1.3792500000000001</v>
      </c>
      <c r="H14" s="43" t="s">
        <v>723</v>
      </c>
      <c r="I14" s="43">
        <f t="shared" si="1"/>
        <v>13950</v>
      </c>
    </row>
    <row r="15" spans="1:9">
      <c r="A15" s="16" t="s">
        <v>193</v>
      </c>
      <c r="B15" s="16" t="s">
        <v>211</v>
      </c>
      <c r="C15" s="16" t="s">
        <v>362</v>
      </c>
      <c r="D15" s="43">
        <f>'Stavební rozpočet'!H30</f>
        <v>0</v>
      </c>
      <c r="E15" s="43">
        <f>'Stavební rozpočet'!I30</f>
        <v>2662.5209999999997</v>
      </c>
      <c r="F15" s="43">
        <f t="shared" si="0"/>
        <v>2662.5209999999997</v>
      </c>
      <c r="G15" s="43">
        <f>'Stavební rozpočet'!L30</f>
        <v>0</v>
      </c>
      <c r="H15" s="43" t="s">
        <v>723</v>
      </c>
      <c r="I15" s="43">
        <f t="shared" si="1"/>
        <v>2662.5209999999997</v>
      </c>
    </row>
    <row r="16" spans="1:9">
      <c r="A16" s="16" t="s">
        <v>194</v>
      </c>
      <c r="B16" s="16"/>
      <c r="C16" s="16" t="s">
        <v>365</v>
      </c>
      <c r="D16" s="43">
        <f>'Stavební rozpočet'!H33</f>
        <v>29050.850283384756</v>
      </c>
      <c r="E16" s="43">
        <f>'Stavební rozpočet'!I33</f>
        <v>69380.457916615254</v>
      </c>
      <c r="F16" s="43">
        <f t="shared" si="0"/>
        <v>98431.308200000014</v>
      </c>
      <c r="G16" s="43">
        <f>'Stavební rozpočet'!L33</f>
        <v>7.8109957999999997</v>
      </c>
      <c r="H16" s="43" t="s">
        <v>722</v>
      </c>
      <c r="I16" s="43">
        <f t="shared" si="1"/>
        <v>0</v>
      </c>
    </row>
    <row r="17" spans="1:9">
      <c r="A17" s="16" t="s">
        <v>194</v>
      </c>
      <c r="B17" s="16" t="s">
        <v>66</v>
      </c>
      <c r="C17" s="16" t="s">
        <v>366</v>
      </c>
      <c r="D17" s="43">
        <f>'Stavební rozpočet'!H34</f>
        <v>28361.337965430019</v>
      </c>
      <c r="E17" s="43">
        <f>'Stavební rozpočet'!I34</f>
        <v>36193.512034569983</v>
      </c>
      <c r="F17" s="43">
        <f t="shared" si="0"/>
        <v>64554.850000000006</v>
      </c>
      <c r="G17" s="43">
        <f>'Stavební rozpočet'!L34</f>
        <v>2.1925344</v>
      </c>
      <c r="H17" s="43" t="s">
        <v>723</v>
      </c>
      <c r="I17" s="43">
        <f t="shared" si="1"/>
        <v>64554.850000000006</v>
      </c>
    </row>
    <row r="18" spans="1:9">
      <c r="A18" s="16" t="s">
        <v>194</v>
      </c>
      <c r="B18" s="16" t="s">
        <v>215</v>
      </c>
      <c r="C18" s="16" t="s">
        <v>369</v>
      </c>
      <c r="D18" s="43">
        <f>'Stavební rozpočet'!H37</f>
        <v>672.78362419873997</v>
      </c>
      <c r="E18" s="43">
        <f>'Stavební rozpočet'!I37</f>
        <v>5675.4983758012604</v>
      </c>
      <c r="F18" s="43">
        <f t="shared" si="0"/>
        <v>6348.2820000000002</v>
      </c>
      <c r="G18" s="43">
        <f>'Stavební rozpočet'!L37</f>
        <v>2.5169400000000001E-2</v>
      </c>
      <c r="H18" s="43" t="s">
        <v>723</v>
      </c>
      <c r="I18" s="43">
        <f t="shared" si="1"/>
        <v>6348.2820000000002</v>
      </c>
    </row>
    <row r="19" spans="1:9">
      <c r="A19" s="16" t="s">
        <v>194</v>
      </c>
      <c r="B19" s="16" t="s">
        <v>103</v>
      </c>
      <c r="C19" s="16" t="s">
        <v>373</v>
      </c>
      <c r="D19" s="43">
        <f>'Stavební rozpočet'!H42</f>
        <v>0</v>
      </c>
      <c r="E19" s="43">
        <f>'Stavební rozpočet'!I42</f>
        <v>18476.465</v>
      </c>
      <c r="F19" s="43">
        <f t="shared" si="0"/>
        <v>18476.465</v>
      </c>
      <c r="G19" s="43">
        <f>'Stavební rozpočet'!L42</f>
        <v>5.5932919999999999</v>
      </c>
      <c r="H19" s="43" t="s">
        <v>723</v>
      </c>
      <c r="I19" s="43">
        <f t="shared" si="1"/>
        <v>18476.465</v>
      </c>
    </row>
    <row r="20" spans="1:9">
      <c r="A20" s="16" t="s">
        <v>194</v>
      </c>
      <c r="B20" s="16" t="s">
        <v>220</v>
      </c>
      <c r="C20" s="16" t="s">
        <v>378</v>
      </c>
      <c r="D20" s="43">
        <f>'Stavební rozpočet'!H47</f>
        <v>16.728693755999057</v>
      </c>
      <c r="E20" s="43">
        <f>'Stavební rozpočet'!I47</f>
        <v>9034.9825062440013</v>
      </c>
      <c r="F20" s="43">
        <f t="shared" si="0"/>
        <v>9051.7111999999997</v>
      </c>
      <c r="G20" s="43">
        <f>'Stavební rozpočet'!L47</f>
        <v>0</v>
      </c>
      <c r="H20" s="43" t="s">
        <v>723</v>
      </c>
      <c r="I20" s="43">
        <f t="shared" si="1"/>
        <v>9051.7111999999997</v>
      </c>
    </row>
    <row r="21" spans="1:9">
      <c r="A21" s="16" t="s">
        <v>195</v>
      </c>
      <c r="B21" s="16"/>
      <c r="C21" s="16" t="s">
        <v>388</v>
      </c>
      <c r="D21" s="43">
        <f>'Stavební rozpočet'!H57</f>
        <v>17917.064605273092</v>
      </c>
      <c r="E21" s="43">
        <f>'Stavební rozpočet'!I57</f>
        <v>1013651.2487947268</v>
      </c>
      <c r="F21" s="43">
        <f t="shared" si="0"/>
        <v>1031568.3133999999</v>
      </c>
      <c r="G21" s="43">
        <f>'Stavební rozpočet'!L57</f>
        <v>7.6732231399999993</v>
      </c>
      <c r="H21" s="43" t="s">
        <v>722</v>
      </c>
      <c r="I21" s="43">
        <f t="shared" si="1"/>
        <v>0</v>
      </c>
    </row>
    <row r="22" spans="1:9">
      <c r="A22" s="16" t="s">
        <v>195</v>
      </c>
      <c r="B22" s="16" t="s">
        <v>67</v>
      </c>
      <c r="C22" s="16" t="s">
        <v>389</v>
      </c>
      <c r="D22" s="43">
        <f>'Stavební rozpočet'!H58</f>
        <v>10795.498959985032</v>
      </c>
      <c r="E22" s="43">
        <f>'Stavební rozpočet'!I58</f>
        <v>35918.869040014972</v>
      </c>
      <c r="F22" s="43">
        <f t="shared" si="0"/>
        <v>46714.368000000002</v>
      </c>
      <c r="G22" s="43">
        <f>'Stavební rozpočet'!L58</f>
        <v>1.1154772799999999</v>
      </c>
      <c r="H22" s="43" t="s">
        <v>723</v>
      </c>
      <c r="I22" s="43">
        <f t="shared" si="1"/>
        <v>46714.368000000002</v>
      </c>
    </row>
    <row r="23" spans="1:9">
      <c r="A23" s="16" t="s">
        <v>195</v>
      </c>
      <c r="B23" s="16" t="s">
        <v>228</v>
      </c>
      <c r="C23" s="16" t="s">
        <v>392</v>
      </c>
      <c r="D23" s="43">
        <f>'Stavební rozpočet'!H61</f>
        <v>0</v>
      </c>
      <c r="E23" s="43">
        <f>'Stavební rozpočet'!I61</f>
        <v>918838</v>
      </c>
      <c r="F23" s="43">
        <f t="shared" si="0"/>
        <v>918838</v>
      </c>
      <c r="G23" s="43">
        <f>'Stavební rozpočet'!L61</f>
        <v>1.0483199999999997</v>
      </c>
      <c r="H23" s="43" t="s">
        <v>723</v>
      </c>
      <c r="I23" s="43">
        <f t="shared" si="1"/>
        <v>918838</v>
      </c>
    </row>
    <row r="24" spans="1:9">
      <c r="A24" s="16" t="s">
        <v>195</v>
      </c>
      <c r="B24" s="16" t="s">
        <v>215</v>
      </c>
      <c r="C24" s="16" t="s">
        <v>369</v>
      </c>
      <c r="D24" s="43">
        <f>'Stavební rozpočet'!H74</f>
        <v>734.61274472370201</v>
      </c>
      <c r="E24" s="43">
        <f>'Stavební rozpočet'!I74</f>
        <v>5233.491255276298</v>
      </c>
      <c r="F24" s="43">
        <f t="shared" si="0"/>
        <v>5968.1040000000003</v>
      </c>
      <c r="G24" s="43">
        <f>'Stavební rozpočet'!L74</f>
        <v>1.889184E-2</v>
      </c>
      <c r="H24" s="43" t="s">
        <v>723</v>
      </c>
      <c r="I24" s="43">
        <f t="shared" si="1"/>
        <v>5968.1040000000003</v>
      </c>
    </row>
    <row r="25" spans="1:9">
      <c r="A25" s="16" t="s">
        <v>195</v>
      </c>
      <c r="B25" s="16" t="s">
        <v>102</v>
      </c>
      <c r="C25" s="16" t="s">
        <v>416</v>
      </c>
      <c r="D25" s="43">
        <f>'Stavební rozpočet'!H88</f>
        <v>6370.6340212674659</v>
      </c>
      <c r="E25" s="43">
        <f>'Stavební rozpočet'!I88</f>
        <v>41385.384978732531</v>
      </c>
      <c r="F25" s="43">
        <f t="shared" si="0"/>
        <v>47756.019</v>
      </c>
      <c r="G25" s="43">
        <f>'Stavební rozpočet'!L88</f>
        <v>5.4905340199999992</v>
      </c>
      <c r="H25" s="43" t="s">
        <v>723</v>
      </c>
      <c r="I25" s="43">
        <f t="shared" si="1"/>
        <v>47756.019</v>
      </c>
    </row>
    <row r="26" spans="1:9">
      <c r="A26" s="16" t="s">
        <v>195</v>
      </c>
      <c r="B26" s="16" t="s">
        <v>220</v>
      </c>
      <c r="C26" s="16" t="s">
        <v>378</v>
      </c>
      <c r="D26" s="43">
        <f>'Stavební rozpočet'!H103</f>
        <v>16.31887929689</v>
      </c>
      <c r="E26" s="43">
        <f>'Stavební rozpočet'!I103</f>
        <v>12275.503520703111</v>
      </c>
      <c r="F26" s="43">
        <f t="shared" si="0"/>
        <v>12291.822400000001</v>
      </c>
      <c r="G26" s="43">
        <f>'Stavební rozpočet'!L103</f>
        <v>0</v>
      </c>
      <c r="H26" s="43" t="s">
        <v>723</v>
      </c>
      <c r="I26" s="43">
        <f t="shared" si="1"/>
        <v>12291.822400000001</v>
      </c>
    </row>
    <row r="27" spans="1:9">
      <c r="A27" s="16" t="s">
        <v>196</v>
      </c>
      <c r="B27" s="16"/>
      <c r="C27" s="16" t="s">
        <v>438</v>
      </c>
      <c r="D27" s="43">
        <f>'Stavební rozpočet'!H117</f>
        <v>91622.63534323941</v>
      </c>
      <c r="E27" s="43">
        <f>'Stavební rozpočet'!I117</f>
        <v>126221.54762676058</v>
      </c>
      <c r="F27" s="43">
        <f t="shared" si="0"/>
        <v>217844.18296999999</v>
      </c>
      <c r="G27" s="43">
        <f>'Stavební rozpočet'!L117</f>
        <v>11.581195559999999</v>
      </c>
      <c r="H27" s="43" t="s">
        <v>722</v>
      </c>
      <c r="I27" s="43">
        <f t="shared" si="1"/>
        <v>0</v>
      </c>
    </row>
    <row r="28" spans="1:9">
      <c r="A28" s="16" t="s">
        <v>196</v>
      </c>
      <c r="B28" s="16" t="s">
        <v>69</v>
      </c>
      <c r="C28" s="16" t="s">
        <v>439</v>
      </c>
      <c r="D28" s="43">
        <f>'Stavební rozpočet'!H118</f>
        <v>1406.5808719723184</v>
      </c>
      <c r="E28" s="43">
        <f>'Stavební rozpočet'!I118</f>
        <v>6263.8191280276824</v>
      </c>
      <c r="F28" s="43">
        <f t="shared" si="0"/>
        <v>7670.4000000000005</v>
      </c>
      <c r="G28" s="43">
        <f>'Stavební rozpočet'!L118</f>
        <v>3.9668000000000001</v>
      </c>
      <c r="H28" s="43" t="s">
        <v>723</v>
      </c>
      <c r="I28" s="43">
        <f t="shared" si="1"/>
        <v>7670.4000000000005</v>
      </c>
    </row>
    <row r="29" spans="1:9">
      <c r="A29" s="16" t="s">
        <v>196</v>
      </c>
      <c r="B29" s="16" t="s">
        <v>248</v>
      </c>
      <c r="C29" s="16" t="s">
        <v>444</v>
      </c>
      <c r="D29" s="43">
        <f>'Stavební rozpočet'!H123</f>
        <v>12644.466114046545</v>
      </c>
      <c r="E29" s="43">
        <f>'Stavební rozpočet'!I123</f>
        <v>9085.6338859534571</v>
      </c>
      <c r="F29" s="43">
        <f t="shared" si="0"/>
        <v>21730.100000000002</v>
      </c>
      <c r="G29" s="43">
        <f>'Stavební rozpočet'!L123</f>
        <v>0.17290112000000002</v>
      </c>
      <c r="H29" s="43" t="s">
        <v>723</v>
      </c>
      <c r="I29" s="43">
        <f t="shared" si="1"/>
        <v>21730.100000000002</v>
      </c>
    </row>
    <row r="30" spans="1:9">
      <c r="A30" s="16" t="s">
        <v>196</v>
      </c>
      <c r="B30" s="16" t="s">
        <v>250</v>
      </c>
      <c r="C30" s="16" t="s">
        <v>448</v>
      </c>
      <c r="D30" s="43">
        <f>'Stavební rozpočet'!H127</f>
        <v>42496.399384643206</v>
      </c>
      <c r="E30" s="43">
        <f>'Stavební rozpočet'!I127</f>
        <v>30713.600615356794</v>
      </c>
      <c r="F30" s="43">
        <f t="shared" si="0"/>
        <v>73210</v>
      </c>
      <c r="G30" s="43">
        <f>'Stavební rozpočet'!L127</f>
        <v>7.238E-2</v>
      </c>
      <c r="H30" s="43" t="s">
        <v>723</v>
      </c>
      <c r="I30" s="43">
        <f t="shared" si="1"/>
        <v>73210</v>
      </c>
    </row>
    <row r="31" spans="1:9">
      <c r="A31" s="16" t="s">
        <v>196</v>
      </c>
      <c r="B31" s="16" t="s">
        <v>259</v>
      </c>
      <c r="C31" s="16" t="s">
        <v>457</v>
      </c>
      <c r="D31" s="43">
        <f>'Stavební rozpočet'!H136</f>
        <v>11460.650122122119</v>
      </c>
      <c r="E31" s="43">
        <f>'Stavební rozpočet'!I136</f>
        <v>13959.557877877882</v>
      </c>
      <c r="F31" s="43">
        <f t="shared" si="0"/>
        <v>25420.207999999999</v>
      </c>
      <c r="G31" s="43">
        <f>'Stavební rozpočet'!L136</f>
        <v>2.046192</v>
      </c>
      <c r="H31" s="43" t="s">
        <v>723</v>
      </c>
      <c r="I31" s="43">
        <f t="shared" si="1"/>
        <v>25420.207999999999</v>
      </c>
    </row>
    <row r="32" spans="1:9">
      <c r="A32" s="16" t="s">
        <v>196</v>
      </c>
      <c r="B32" s="16" t="s">
        <v>264</v>
      </c>
      <c r="C32" s="16" t="s">
        <v>463</v>
      </c>
      <c r="D32" s="43">
        <f>'Stavební rozpočet'!H145</f>
        <v>23066.722899120308</v>
      </c>
      <c r="E32" s="43">
        <f>'Stavební rozpočet'!I145</f>
        <v>33383.037100879694</v>
      </c>
      <c r="F32" s="43">
        <f t="shared" si="0"/>
        <v>56449.760000000002</v>
      </c>
      <c r="G32" s="43">
        <f>'Stavební rozpočet'!L145</f>
        <v>1.0748334000000002</v>
      </c>
      <c r="H32" s="43" t="s">
        <v>723</v>
      </c>
      <c r="I32" s="43">
        <f t="shared" si="1"/>
        <v>56449.760000000002</v>
      </c>
    </row>
    <row r="33" spans="1:9">
      <c r="A33" s="16" t="s">
        <v>196</v>
      </c>
      <c r="B33" s="16" t="s">
        <v>215</v>
      </c>
      <c r="C33" s="16" t="s">
        <v>369</v>
      </c>
      <c r="D33" s="43">
        <f>'Stavební rozpočet'!H154</f>
        <v>517.52621731224167</v>
      </c>
      <c r="E33" s="43">
        <f>'Stavební rozpočet'!I154</f>
        <v>3686.9457826877583</v>
      </c>
      <c r="F33" s="43">
        <f t="shared" si="0"/>
        <v>4204.4719999999998</v>
      </c>
      <c r="G33" s="43">
        <f>'Stavební rozpočet'!L154</f>
        <v>1.3309120000000001E-2</v>
      </c>
      <c r="H33" s="43" t="s">
        <v>723</v>
      </c>
      <c r="I33" s="43">
        <f t="shared" si="1"/>
        <v>4204.4719999999998</v>
      </c>
    </row>
    <row r="34" spans="1:9">
      <c r="A34" s="16" t="s">
        <v>196</v>
      </c>
      <c r="B34" s="16" t="s">
        <v>102</v>
      </c>
      <c r="C34" s="16" t="s">
        <v>416</v>
      </c>
      <c r="D34" s="43">
        <f>'Stavební rozpočet'!H161</f>
        <v>6.3497787132379013</v>
      </c>
      <c r="E34" s="43">
        <f>'Stavební rozpočet'!I161</f>
        <v>1200.398591286762</v>
      </c>
      <c r="F34" s="43">
        <f t="shared" si="0"/>
        <v>1206.7483699999998</v>
      </c>
      <c r="G34" s="43">
        <f>'Stavební rozpočet'!L161</f>
        <v>0.84837992000000007</v>
      </c>
      <c r="H34" s="43" t="s">
        <v>723</v>
      </c>
      <c r="I34" s="43">
        <f t="shared" si="1"/>
        <v>1206.7483699999998</v>
      </c>
    </row>
    <row r="35" spans="1:9">
      <c r="A35" s="16" t="s">
        <v>196</v>
      </c>
      <c r="B35" s="16" t="s">
        <v>103</v>
      </c>
      <c r="C35" s="16" t="s">
        <v>373</v>
      </c>
      <c r="D35" s="43">
        <f>'Stavební rozpočet'!H166</f>
        <v>0</v>
      </c>
      <c r="E35" s="43">
        <f>'Stavební rozpočet'!I166</f>
        <v>8814.6</v>
      </c>
      <c r="F35" s="43">
        <f t="shared" si="0"/>
        <v>8814.6</v>
      </c>
      <c r="G35" s="43">
        <f>'Stavební rozpočet'!L166</f>
        <v>3.3864000000000001</v>
      </c>
      <c r="H35" s="43" t="s">
        <v>723</v>
      </c>
      <c r="I35" s="43">
        <f t="shared" si="1"/>
        <v>8814.6</v>
      </c>
    </row>
    <row r="36" spans="1:9">
      <c r="A36" s="16" t="s">
        <v>196</v>
      </c>
      <c r="B36" s="16" t="s">
        <v>220</v>
      </c>
      <c r="C36" s="16" t="s">
        <v>378</v>
      </c>
      <c r="D36" s="43">
        <f>'Stavební rozpočet'!H171</f>
        <v>23.939955309446251</v>
      </c>
      <c r="E36" s="43">
        <f>'Stavební rozpočet'!I171</f>
        <v>19113.954644690552</v>
      </c>
      <c r="F36" s="43">
        <f t="shared" si="0"/>
        <v>19137.894599999996</v>
      </c>
      <c r="G36" s="43">
        <f>'Stavební rozpočet'!L171</f>
        <v>0</v>
      </c>
      <c r="H36" s="43" t="s">
        <v>723</v>
      </c>
      <c r="I36" s="43">
        <f t="shared" si="1"/>
        <v>19137.894599999996</v>
      </c>
    </row>
    <row r="37" spans="1:9">
      <c r="A37" s="16" t="s">
        <v>197</v>
      </c>
      <c r="B37" s="16"/>
      <c r="C37" s="16" t="s">
        <v>489</v>
      </c>
      <c r="D37" s="43">
        <f>'Stavební rozpočet'!H188</f>
        <v>45525.50218561678</v>
      </c>
      <c r="E37" s="43">
        <f>'Stavební rozpočet'!I188</f>
        <v>8557.1413143832215</v>
      </c>
      <c r="F37" s="43">
        <f t="shared" si="0"/>
        <v>54082.643500000006</v>
      </c>
      <c r="G37" s="43">
        <f>'Stavební rozpočet'!L188</f>
        <v>7.4674759999999993E-2</v>
      </c>
      <c r="H37" s="43" t="s">
        <v>722</v>
      </c>
      <c r="I37" s="43">
        <f t="shared" si="1"/>
        <v>0</v>
      </c>
    </row>
    <row r="38" spans="1:9">
      <c r="A38" s="16" t="s">
        <v>197</v>
      </c>
      <c r="B38" s="16" t="s">
        <v>273</v>
      </c>
      <c r="C38" s="16" t="s">
        <v>490</v>
      </c>
      <c r="D38" s="43">
        <f>'Stavební rozpočet'!H189</f>
        <v>1410.6466683390229</v>
      </c>
      <c r="E38" s="43">
        <f>'Stavební rozpočet'!I189</f>
        <v>1707.3533316609771</v>
      </c>
      <c r="F38" s="43">
        <f t="shared" si="0"/>
        <v>3118</v>
      </c>
      <c r="G38" s="43">
        <f>'Stavební rozpočet'!L189</f>
        <v>6.6649999999999999E-3</v>
      </c>
      <c r="H38" s="43" t="s">
        <v>723</v>
      </c>
      <c r="I38" s="43">
        <f t="shared" si="1"/>
        <v>3118</v>
      </c>
    </row>
    <row r="39" spans="1:9">
      <c r="A39" s="16" t="s">
        <v>197</v>
      </c>
      <c r="B39" s="16" t="s">
        <v>250</v>
      </c>
      <c r="C39" s="16" t="s">
        <v>448</v>
      </c>
      <c r="D39" s="43">
        <f>'Stavební rozpočet'!H192</f>
        <v>39038.342885179052</v>
      </c>
      <c r="E39" s="43">
        <f>'Stavební rozpočet'!I192</f>
        <v>1769.6571148209487</v>
      </c>
      <c r="F39" s="43">
        <f t="shared" si="0"/>
        <v>40808</v>
      </c>
      <c r="G39" s="43">
        <f>'Stavební rozpočet'!L192</f>
        <v>2.5759999999999998E-2</v>
      </c>
      <c r="H39" s="43" t="s">
        <v>723</v>
      </c>
      <c r="I39" s="43">
        <f t="shared" si="1"/>
        <v>40808</v>
      </c>
    </row>
    <row r="40" spans="1:9">
      <c r="A40" s="16" t="s">
        <v>197</v>
      </c>
      <c r="B40" s="16" t="s">
        <v>280</v>
      </c>
      <c r="C40" s="16" t="s">
        <v>496</v>
      </c>
      <c r="D40" s="43">
        <f>'Stavební rozpočet'!H198</f>
        <v>4600.6625000000004</v>
      </c>
      <c r="E40" s="43">
        <f>'Stavební rozpočet'!I198</f>
        <v>2470</v>
      </c>
      <c r="F40" s="43">
        <f t="shared" si="0"/>
        <v>7070.6625000000004</v>
      </c>
      <c r="G40" s="43">
        <f>'Stavební rozpočet'!L198</f>
        <v>1.8499999999999999E-3</v>
      </c>
      <c r="H40" s="43" t="s">
        <v>723</v>
      </c>
      <c r="I40" s="43">
        <f t="shared" si="1"/>
        <v>7070.6625000000004</v>
      </c>
    </row>
    <row r="41" spans="1:9">
      <c r="A41" s="16" t="s">
        <v>197</v>
      </c>
      <c r="B41" s="16" t="s">
        <v>215</v>
      </c>
      <c r="C41" s="16" t="s">
        <v>369</v>
      </c>
      <c r="D41" s="43">
        <f>'Stavební rozpočet'!H207</f>
        <v>86.899447167196314</v>
      </c>
      <c r="E41" s="43">
        <f>'Stavební rozpočet'!I207</f>
        <v>619.08155283280371</v>
      </c>
      <c r="F41" s="43">
        <f t="shared" si="0"/>
        <v>705.98099999999999</v>
      </c>
      <c r="G41" s="43">
        <f>'Stavební rozpočet'!L207</f>
        <v>2.2347599999999997E-3</v>
      </c>
      <c r="H41" s="43" t="s">
        <v>723</v>
      </c>
      <c r="I41" s="43">
        <f t="shared" si="1"/>
        <v>705.98099999999999</v>
      </c>
    </row>
    <row r="42" spans="1:9">
      <c r="A42" s="16" t="s">
        <v>197</v>
      </c>
      <c r="B42" s="16" t="s">
        <v>103</v>
      </c>
      <c r="C42" s="16" t="s">
        <v>373</v>
      </c>
      <c r="D42" s="43">
        <f>'Stavební rozpočet'!H212</f>
        <v>388.95068493150785</v>
      </c>
      <c r="E42" s="43">
        <f>'Stavební rozpočet'!I212</f>
        <v>1991.0493150684922</v>
      </c>
      <c r="F42" s="43">
        <f t="shared" si="0"/>
        <v>2380</v>
      </c>
      <c r="G42" s="43">
        <f>'Stavební rozpočet'!L212</f>
        <v>3.8164999999999998E-2</v>
      </c>
      <c r="H42" s="43" t="s">
        <v>723</v>
      </c>
      <c r="I42" s="43">
        <f t="shared" si="1"/>
        <v>2380</v>
      </c>
    </row>
    <row r="43" spans="1:9">
      <c r="A43" s="16" t="s">
        <v>198</v>
      </c>
      <c r="B43" s="16"/>
      <c r="C43" s="16" t="s">
        <v>508</v>
      </c>
      <c r="D43" s="43">
        <f>'Stavební rozpočet'!H214</f>
        <v>311240.39606168697</v>
      </c>
      <c r="E43" s="43">
        <f>'Stavební rozpočet'!I214</f>
        <v>34077.012938313099</v>
      </c>
      <c r="F43" s="43">
        <f t="shared" ref="F43:F67" si="2">D43+E43</f>
        <v>345317.4090000001</v>
      </c>
      <c r="G43" s="43">
        <f>'Stavební rozpočet'!L214</f>
        <v>0</v>
      </c>
      <c r="H43" s="43" t="s">
        <v>722</v>
      </c>
      <c r="I43" s="43">
        <f t="shared" ref="I43:I67" si="3">IF(H43="F",0,F43)</f>
        <v>0</v>
      </c>
    </row>
    <row r="44" spans="1:9">
      <c r="A44" s="16" t="s">
        <v>198</v>
      </c>
      <c r="B44" s="16" t="s">
        <v>228</v>
      </c>
      <c r="C44" s="16" t="s">
        <v>392</v>
      </c>
      <c r="D44" s="43">
        <f>'Stavební rozpočet'!H215</f>
        <v>311239.16974287305</v>
      </c>
      <c r="E44" s="43">
        <f>'Stavební rozpočet'!I215</f>
        <v>31810.830257126992</v>
      </c>
      <c r="F44" s="43">
        <f t="shared" si="2"/>
        <v>343050.00000000006</v>
      </c>
      <c r="G44" s="43">
        <f>'Stavební rozpočet'!L215</f>
        <v>0</v>
      </c>
      <c r="H44" s="43" t="s">
        <v>723</v>
      </c>
      <c r="I44" s="43">
        <f t="shared" si="3"/>
        <v>343050.00000000006</v>
      </c>
    </row>
    <row r="45" spans="1:9">
      <c r="A45" s="16" t="s">
        <v>198</v>
      </c>
      <c r="B45" s="16" t="s">
        <v>102</v>
      </c>
      <c r="C45" s="16" t="s">
        <v>416</v>
      </c>
      <c r="D45" s="43">
        <f>'Stavební rozpočet'!H236</f>
        <v>0</v>
      </c>
      <c r="E45" s="43">
        <f>'Stavební rozpočet'!I236</f>
        <v>1092.8</v>
      </c>
      <c r="F45" s="43">
        <f t="shared" si="2"/>
        <v>1092.8</v>
      </c>
      <c r="G45" s="43">
        <f>'Stavební rozpočet'!L236</f>
        <v>0</v>
      </c>
      <c r="H45" s="43" t="s">
        <v>723</v>
      </c>
      <c r="I45" s="43">
        <f t="shared" si="3"/>
        <v>1092.8</v>
      </c>
    </row>
    <row r="46" spans="1:9">
      <c r="A46" s="16" t="s">
        <v>198</v>
      </c>
      <c r="B46" s="16" t="s">
        <v>220</v>
      </c>
      <c r="C46" s="16" t="s">
        <v>378</v>
      </c>
      <c r="D46" s="43">
        <f>'Stavební rozpočet'!H239</f>
        <v>1.2263188138905594</v>
      </c>
      <c r="E46" s="43">
        <f>'Stavební rozpočet'!I239</f>
        <v>1173.3826811861095</v>
      </c>
      <c r="F46" s="43">
        <f t="shared" si="2"/>
        <v>1174.6090000000002</v>
      </c>
      <c r="G46" s="43">
        <f>'Stavební rozpočet'!L239</f>
        <v>0</v>
      </c>
      <c r="H46" s="43" t="s">
        <v>723</v>
      </c>
      <c r="I46" s="43">
        <f t="shared" si="3"/>
        <v>1174.6090000000002</v>
      </c>
    </row>
    <row r="47" spans="1:9">
      <c r="A47" s="16" t="s">
        <v>199</v>
      </c>
      <c r="B47" s="16"/>
      <c r="C47" s="16" t="s">
        <v>542</v>
      </c>
      <c r="D47" s="43">
        <f>'Stavební rozpočet'!H256</f>
        <v>70285.930523987816</v>
      </c>
      <c r="E47" s="43">
        <f>'Stavební rozpočet'!I256</f>
        <v>164920.6069760122</v>
      </c>
      <c r="F47" s="43">
        <f t="shared" si="2"/>
        <v>235206.53750000003</v>
      </c>
      <c r="G47" s="43">
        <f>'Stavební rozpočet'!L256</f>
        <v>13.68499707</v>
      </c>
      <c r="H47" s="43" t="s">
        <v>722</v>
      </c>
      <c r="I47" s="43">
        <f t="shared" si="3"/>
        <v>0</v>
      </c>
    </row>
    <row r="48" spans="1:9">
      <c r="A48" s="16" t="s">
        <v>199</v>
      </c>
      <c r="B48" s="16" t="s">
        <v>37</v>
      </c>
      <c r="C48" s="16" t="s">
        <v>543</v>
      </c>
      <c r="D48" s="43">
        <f>'Stavební rozpočet'!H257</f>
        <v>14545.883427614581</v>
      </c>
      <c r="E48" s="43">
        <f>'Stavební rozpočet'!I257</f>
        <v>8619.2535723854198</v>
      </c>
      <c r="F48" s="43">
        <f t="shared" si="2"/>
        <v>23165.137000000002</v>
      </c>
      <c r="G48" s="43">
        <f>'Stavební rozpočet'!L257</f>
        <v>1.2826951499999999</v>
      </c>
      <c r="H48" s="43" t="s">
        <v>723</v>
      </c>
      <c r="I48" s="43">
        <f t="shared" si="3"/>
        <v>23165.137000000002</v>
      </c>
    </row>
    <row r="49" spans="1:9">
      <c r="A49" s="16" t="s">
        <v>199</v>
      </c>
      <c r="B49" s="16" t="s">
        <v>67</v>
      </c>
      <c r="C49" s="16" t="s">
        <v>389</v>
      </c>
      <c r="D49" s="43">
        <f>'Stavební rozpočet'!H269</f>
        <v>1022.0019257002911</v>
      </c>
      <c r="E49" s="43">
        <f>'Stavební rozpočet'!I269</f>
        <v>4865.2790742997095</v>
      </c>
      <c r="F49" s="43">
        <f t="shared" si="2"/>
        <v>5887.2810000000009</v>
      </c>
      <c r="G49" s="43">
        <f>'Stavební rozpočet'!L269</f>
        <v>0.93735410000000008</v>
      </c>
      <c r="H49" s="43" t="s">
        <v>723</v>
      </c>
      <c r="I49" s="43">
        <f t="shared" si="3"/>
        <v>5887.2810000000009</v>
      </c>
    </row>
    <row r="50" spans="1:9">
      <c r="A50" s="16" t="s">
        <v>199</v>
      </c>
      <c r="B50" s="16" t="s">
        <v>69</v>
      </c>
      <c r="C50" s="16" t="s">
        <v>439</v>
      </c>
      <c r="D50" s="43">
        <f>'Stavební rozpočet'!H278</f>
        <v>896.50536585365921</v>
      </c>
      <c r="E50" s="43">
        <f>'Stavební rozpočet'!I278</f>
        <v>643.49463414634101</v>
      </c>
      <c r="F50" s="43">
        <f t="shared" si="2"/>
        <v>1540.0000000000002</v>
      </c>
      <c r="G50" s="43">
        <f>'Stavební rozpočet'!L278</f>
        <v>0.14553000000000002</v>
      </c>
      <c r="H50" s="43" t="s">
        <v>723</v>
      </c>
      <c r="I50" s="43">
        <f t="shared" si="3"/>
        <v>1540.0000000000002</v>
      </c>
    </row>
    <row r="51" spans="1:9">
      <c r="A51" s="16" t="s">
        <v>199</v>
      </c>
      <c r="B51" s="16" t="s">
        <v>70</v>
      </c>
      <c r="C51" s="16" t="s">
        <v>565</v>
      </c>
      <c r="D51" s="43">
        <f>'Stavební rozpočet'!H281</f>
        <v>2075.8524946238399</v>
      </c>
      <c r="E51" s="43">
        <f>'Stavební rozpočet'!I281</f>
        <v>3450.1475053761601</v>
      </c>
      <c r="F51" s="43">
        <f t="shared" si="2"/>
        <v>5526</v>
      </c>
      <c r="G51" s="43">
        <f>'Stavební rozpočet'!L281</f>
        <v>1.9767300000000001</v>
      </c>
      <c r="H51" s="43" t="s">
        <v>723</v>
      </c>
      <c r="I51" s="43">
        <f t="shared" si="3"/>
        <v>5526</v>
      </c>
    </row>
    <row r="52" spans="1:9">
      <c r="A52" s="16" t="s">
        <v>199</v>
      </c>
      <c r="B52" s="16" t="s">
        <v>228</v>
      </c>
      <c r="C52" s="16" t="s">
        <v>392</v>
      </c>
      <c r="D52" s="43">
        <f>'Stavební rozpočet'!H284</f>
        <v>0</v>
      </c>
      <c r="E52" s="43">
        <f>'Stavební rozpočet'!I284</f>
        <v>383</v>
      </c>
      <c r="F52" s="43">
        <f t="shared" si="2"/>
        <v>383</v>
      </c>
      <c r="G52" s="43">
        <f>'Stavební rozpočet'!L284</f>
        <v>0.2208</v>
      </c>
      <c r="H52" s="43" t="s">
        <v>723</v>
      </c>
      <c r="I52" s="43">
        <f t="shared" si="3"/>
        <v>383</v>
      </c>
    </row>
    <row r="53" spans="1:9">
      <c r="A53" s="16" t="s">
        <v>199</v>
      </c>
      <c r="B53" s="16" t="s">
        <v>325</v>
      </c>
      <c r="C53" s="16" t="s">
        <v>569</v>
      </c>
      <c r="D53" s="43">
        <f>'Stavební rozpočet'!H286</f>
        <v>441.80983064516141</v>
      </c>
      <c r="E53" s="43">
        <f>'Stavební rozpočet'!I286</f>
        <v>51758.190169354843</v>
      </c>
      <c r="F53" s="43">
        <f t="shared" si="2"/>
        <v>52200.000000000007</v>
      </c>
      <c r="G53" s="43">
        <f>'Stavební rozpočet'!L286</f>
        <v>6.0000000000000002E-5</v>
      </c>
      <c r="H53" s="43" t="s">
        <v>723</v>
      </c>
      <c r="I53" s="43">
        <f t="shared" si="3"/>
        <v>52200.000000000007</v>
      </c>
    </row>
    <row r="54" spans="1:9">
      <c r="A54" s="16" t="s">
        <v>199</v>
      </c>
      <c r="B54" s="16" t="s">
        <v>259</v>
      </c>
      <c r="C54" s="16" t="s">
        <v>457</v>
      </c>
      <c r="D54" s="43">
        <f>'Stavební rozpočet'!H289</f>
        <v>0</v>
      </c>
      <c r="E54" s="43">
        <f>'Stavební rozpočet'!I289</f>
        <v>5589</v>
      </c>
      <c r="F54" s="43">
        <f t="shared" si="2"/>
        <v>5589</v>
      </c>
      <c r="G54" s="43">
        <f>'Stavební rozpočet'!L289</f>
        <v>2.4011999999999998</v>
      </c>
      <c r="H54" s="43" t="s">
        <v>723</v>
      </c>
      <c r="I54" s="43">
        <f t="shared" si="3"/>
        <v>5589</v>
      </c>
    </row>
    <row r="55" spans="1:9">
      <c r="A55" s="16" t="s">
        <v>199</v>
      </c>
      <c r="B55" s="16" t="s">
        <v>328</v>
      </c>
      <c r="C55" s="16" t="s">
        <v>573</v>
      </c>
      <c r="D55" s="43">
        <f>'Stavební rozpočet'!H292</f>
        <v>51000.42617030687</v>
      </c>
      <c r="E55" s="43">
        <f>'Stavební rozpočet'!I292</f>
        <v>12568.571629693133</v>
      </c>
      <c r="F55" s="43">
        <f t="shared" si="2"/>
        <v>63568.997800000005</v>
      </c>
      <c r="G55" s="43">
        <f>'Stavební rozpočet'!L292</f>
        <v>0.27450576000000004</v>
      </c>
      <c r="H55" s="43" t="s">
        <v>723</v>
      </c>
      <c r="I55" s="43">
        <f t="shared" si="3"/>
        <v>63568.997800000005</v>
      </c>
    </row>
    <row r="56" spans="1:9">
      <c r="A56" s="16" t="s">
        <v>199</v>
      </c>
      <c r="B56" s="16" t="s">
        <v>215</v>
      </c>
      <c r="C56" s="16" t="s">
        <v>369</v>
      </c>
      <c r="D56" s="43">
        <f>'Stavební rozpočet'!H306</f>
        <v>96.207275964936201</v>
      </c>
      <c r="E56" s="43">
        <f>'Stavební rozpočet'!I306</f>
        <v>685.38972403506386</v>
      </c>
      <c r="F56" s="43">
        <f t="shared" si="2"/>
        <v>781.59700000000009</v>
      </c>
      <c r="G56" s="43">
        <f>'Stavební rozpočet'!L306</f>
        <v>2.4741199999999998E-3</v>
      </c>
      <c r="H56" s="43" t="s">
        <v>723</v>
      </c>
      <c r="I56" s="43">
        <f t="shared" si="3"/>
        <v>781.59700000000009</v>
      </c>
    </row>
    <row r="57" spans="1:9">
      <c r="A57" s="16" t="s">
        <v>199</v>
      </c>
      <c r="B57" s="16" t="s">
        <v>102</v>
      </c>
      <c r="C57" s="16" t="s">
        <v>416</v>
      </c>
      <c r="D57" s="43">
        <f>'Stavební rozpočet'!H310</f>
        <v>50.048408755957965</v>
      </c>
      <c r="E57" s="43">
        <f>'Stavební rozpočet'!I310</f>
        <v>4017.0295912440424</v>
      </c>
      <c r="F57" s="43">
        <f t="shared" si="2"/>
        <v>4067.0780000000004</v>
      </c>
      <c r="G57" s="43">
        <f>'Stavební rozpočet'!L310</f>
        <v>3.8253366399999997</v>
      </c>
      <c r="H57" s="43" t="s">
        <v>723</v>
      </c>
      <c r="I57" s="43">
        <f t="shared" si="3"/>
        <v>4067.0780000000004</v>
      </c>
    </row>
    <row r="58" spans="1:9">
      <c r="A58" s="16" t="s">
        <v>199</v>
      </c>
      <c r="B58" s="16" t="s">
        <v>103</v>
      </c>
      <c r="C58" s="16" t="s">
        <v>373</v>
      </c>
      <c r="D58" s="43">
        <f>'Stavební rozpočet'!H315</f>
        <v>129.99847243194085</v>
      </c>
      <c r="E58" s="43">
        <f>'Stavební rozpočet'!I315</f>
        <v>4483.2665275680592</v>
      </c>
      <c r="F58" s="43">
        <f t="shared" si="2"/>
        <v>4613.2650000000003</v>
      </c>
      <c r="G58" s="43">
        <f>'Stavební rozpočet'!L315</f>
        <v>2.6183112999999998</v>
      </c>
      <c r="H58" s="43" t="s">
        <v>723</v>
      </c>
      <c r="I58" s="43">
        <f t="shared" si="3"/>
        <v>4613.2650000000003</v>
      </c>
    </row>
    <row r="59" spans="1:9">
      <c r="A59" s="16" t="s">
        <v>199</v>
      </c>
      <c r="B59" s="16" t="s">
        <v>211</v>
      </c>
      <c r="C59" s="16" t="s">
        <v>362</v>
      </c>
      <c r="D59" s="43">
        <f>'Stavební rozpočet'!H320</f>
        <v>0</v>
      </c>
      <c r="E59" s="43">
        <f>'Stavební rozpočet'!I320</f>
        <v>45926.495999999999</v>
      </c>
      <c r="F59" s="43">
        <f t="shared" si="2"/>
        <v>45926.495999999999</v>
      </c>
      <c r="G59" s="43">
        <f>'Stavební rozpočet'!L320</f>
        <v>0</v>
      </c>
      <c r="H59" s="43" t="s">
        <v>723</v>
      </c>
      <c r="I59" s="43">
        <f t="shared" si="3"/>
        <v>45926.495999999999</v>
      </c>
    </row>
    <row r="60" spans="1:9">
      <c r="A60" s="16" t="s">
        <v>199</v>
      </c>
      <c r="B60" s="16" t="s">
        <v>220</v>
      </c>
      <c r="C60" s="16" t="s">
        <v>378</v>
      </c>
      <c r="D60" s="43">
        <f>'Stavební rozpočet'!H322</f>
        <v>27.197152090581884</v>
      </c>
      <c r="E60" s="43">
        <f>'Stavební rozpočet'!I322</f>
        <v>21931.488547909419</v>
      </c>
      <c r="F60" s="43">
        <f t="shared" si="2"/>
        <v>21958.685700000002</v>
      </c>
      <c r="G60" s="43">
        <f>'Stavební rozpočet'!L322</f>
        <v>0</v>
      </c>
      <c r="H60" s="43" t="s">
        <v>723</v>
      </c>
      <c r="I60" s="43">
        <f t="shared" si="3"/>
        <v>21958.685700000002</v>
      </c>
    </row>
    <row r="61" spans="1:9">
      <c r="A61" s="16" t="s">
        <v>200</v>
      </c>
      <c r="B61" s="16"/>
      <c r="C61" s="16" t="s">
        <v>602</v>
      </c>
      <c r="D61" s="43">
        <f>'Stavební rozpočet'!H337</f>
        <v>36179.809437483476</v>
      </c>
      <c r="E61" s="43">
        <f>'Stavební rozpočet'!I337</f>
        <v>631969.37876251654</v>
      </c>
      <c r="F61" s="43">
        <f t="shared" si="2"/>
        <v>668149.18819999998</v>
      </c>
      <c r="G61" s="43">
        <f>'Stavební rozpočet'!L337</f>
        <v>14.789886410000001</v>
      </c>
      <c r="H61" s="43" t="s">
        <v>722</v>
      </c>
      <c r="I61" s="43">
        <f t="shared" si="3"/>
        <v>0</v>
      </c>
    </row>
    <row r="62" spans="1:9">
      <c r="A62" s="16" t="s">
        <v>200</v>
      </c>
      <c r="B62" s="16" t="s">
        <v>40</v>
      </c>
      <c r="C62" s="16" t="s">
        <v>603</v>
      </c>
      <c r="D62" s="43">
        <f>'Stavební rozpočet'!H338</f>
        <v>14174.939999999988</v>
      </c>
      <c r="E62" s="43">
        <f>'Stavební rozpočet'!I338</f>
        <v>25605.060000000012</v>
      </c>
      <c r="F62" s="43">
        <f t="shared" si="2"/>
        <v>39780</v>
      </c>
      <c r="G62" s="43">
        <f>'Stavební rozpočet'!L338</f>
        <v>0.75337200000000004</v>
      </c>
      <c r="H62" s="43" t="s">
        <v>723</v>
      </c>
      <c r="I62" s="43">
        <f t="shared" si="3"/>
        <v>39780</v>
      </c>
    </row>
    <row r="63" spans="1:9">
      <c r="A63" s="16" t="s">
        <v>200</v>
      </c>
      <c r="B63" s="16" t="s">
        <v>67</v>
      </c>
      <c r="C63" s="16" t="s">
        <v>389</v>
      </c>
      <c r="D63" s="43">
        <f>'Stavební rozpočet'!H341</f>
        <v>10795.498959985032</v>
      </c>
      <c r="E63" s="43">
        <f>'Stavební rozpočet'!I341</f>
        <v>35918.869040014972</v>
      </c>
      <c r="F63" s="43">
        <f t="shared" si="2"/>
        <v>46714.368000000002</v>
      </c>
      <c r="G63" s="43">
        <f>'Stavební rozpočet'!L341</f>
        <v>1.1154772799999999</v>
      </c>
      <c r="H63" s="43" t="s">
        <v>723</v>
      </c>
      <c r="I63" s="43">
        <f t="shared" si="3"/>
        <v>46714.368000000002</v>
      </c>
    </row>
    <row r="64" spans="1:9">
      <c r="A64" s="16" t="s">
        <v>200</v>
      </c>
      <c r="B64" s="16" t="s">
        <v>325</v>
      </c>
      <c r="C64" s="16" t="s">
        <v>569</v>
      </c>
      <c r="D64" s="43">
        <f>'Stavební rozpočet'!H344</f>
        <v>4582.4151916666688</v>
      </c>
      <c r="E64" s="43">
        <f>'Stavební rozpočet'!I344</f>
        <v>536807.58480833331</v>
      </c>
      <c r="F64" s="43">
        <f t="shared" si="2"/>
        <v>541390</v>
      </c>
      <c r="G64" s="43">
        <f>'Stavební rozpočet'!L344</f>
        <v>7.0380700000000003</v>
      </c>
      <c r="H64" s="43" t="s">
        <v>723</v>
      </c>
      <c r="I64" s="43">
        <f t="shared" si="3"/>
        <v>541390</v>
      </c>
    </row>
    <row r="65" spans="1:9">
      <c r="A65" s="16" t="s">
        <v>200</v>
      </c>
      <c r="B65" s="16" t="s">
        <v>100</v>
      </c>
      <c r="C65" s="16" t="s">
        <v>354</v>
      </c>
      <c r="D65" s="43">
        <f>'Stavební rozpočet'!H347</f>
        <v>5662.3293019505491</v>
      </c>
      <c r="E65" s="43">
        <f>'Stavební rozpočet'!I347</f>
        <v>11304.070698049454</v>
      </c>
      <c r="F65" s="43">
        <f t="shared" si="2"/>
        <v>16966.400000000001</v>
      </c>
      <c r="G65" s="43">
        <f>'Stavební rozpočet'!L347</f>
        <v>1.4072960000000003</v>
      </c>
      <c r="H65" s="43" t="s">
        <v>723</v>
      </c>
      <c r="I65" s="43">
        <f t="shared" si="3"/>
        <v>16966.400000000001</v>
      </c>
    </row>
    <row r="66" spans="1:9">
      <c r="A66" s="16" t="s">
        <v>200</v>
      </c>
      <c r="B66" s="16" t="s">
        <v>102</v>
      </c>
      <c r="C66" s="16" t="s">
        <v>416</v>
      </c>
      <c r="D66" s="43">
        <f>'Stavební rozpočet'!H353</f>
        <v>951.238287666102</v>
      </c>
      <c r="E66" s="43">
        <f>'Stavební rozpočet'!I353</f>
        <v>11148.8282123339</v>
      </c>
      <c r="F66" s="43">
        <f t="shared" si="2"/>
        <v>12100.066500000001</v>
      </c>
      <c r="G66" s="43">
        <f>'Stavební rozpočet'!L353</f>
        <v>4.4756711300000003</v>
      </c>
      <c r="H66" s="43" t="s">
        <v>723</v>
      </c>
      <c r="I66" s="43">
        <f t="shared" si="3"/>
        <v>12100.066500000001</v>
      </c>
    </row>
    <row r="67" spans="1:9">
      <c r="A67" s="16" t="s">
        <v>200</v>
      </c>
      <c r="B67" s="16" t="s">
        <v>220</v>
      </c>
      <c r="C67" s="16" t="s">
        <v>378</v>
      </c>
      <c r="D67" s="43">
        <f>'Stavební rozpočet'!H356</f>
        <v>13.387696215144381</v>
      </c>
      <c r="E67" s="43">
        <f>'Stavební rozpočet'!I356</f>
        <v>11184.966003784855</v>
      </c>
      <c r="F67" s="43">
        <f t="shared" si="2"/>
        <v>11198.3537</v>
      </c>
      <c r="G67" s="43">
        <f>'Stavební rozpočet'!L356</f>
        <v>0</v>
      </c>
      <c r="H67" s="43" t="s">
        <v>723</v>
      </c>
      <c r="I67" s="43">
        <f t="shared" si="3"/>
        <v>11198.3537</v>
      </c>
    </row>
    <row r="69" spans="1:9">
      <c r="E69" s="54" t="s">
        <v>632</v>
      </c>
      <c r="F69" s="57">
        <f>SUM(I11:I67)</f>
        <v>2729216.8837700002</v>
      </c>
    </row>
  </sheetData>
  <sheetProtection password="C943" sheet="1" objects="1" scenarios="1" selectLockedCells="1"/>
  <mergeCells count="17">
    <mergeCell ref="A1:G1"/>
    <mergeCell ref="A2:A3"/>
    <mergeCell ref="B2:C3"/>
    <mergeCell ref="F2:F3"/>
    <mergeCell ref="G2:G3"/>
    <mergeCell ref="G4:G5"/>
    <mergeCell ref="G6:G7"/>
    <mergeCell ref="G8:G9"/>
    <mergeCell ref="A8:A9"/>
    <mergeCell ref="B8:C9"/>
    <mergeCell ref="F8:F9"/>
    <mergeCell ref="A4:A5"/>
    <mergeCell ref="B4:C5"/>
    <mergeCell ref="F4:F5"/>
    <mergeCell ref="A6:A7"/>
    <mergeCell ref="B6:C7"/>
    <mergeCell ref="F6:F7"/>
  </mergeCells>
  <pageMargins left="0.39400000000000002" right="0.39400000000000002" top="0.59099999999999997" bottom="0.59099999999999997" header="0.5" footer="0.5"/>
  <pageSetup paperSize="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374"/>
  <sheetViews>
    <sheetView tabSelected="1" workbookViewId="0">
      <pane ySplit="11" topLeftCell="A60" activePane="bottomLeft" state="frozenSplit"/>
      <selection pane="bottomLeft" activeCell="G46" sqref="G46"/>
    </sheetView>
  </sheetViews>
  <sheetFormatPr defaultColWidth="11.5703125" defaultRowHeight="12.75"/>
  <cols>
    <col min="1" max="1" width="3.7109375" customWidth="1"/>
    <col min="2" max="2" width="6.85546875" customWidth="1"/>
    <col min="3" max="3" width="13.28515625" customWidth="1"/>
    <col min="4" max="4" width="82.5703125" style="90" customWidth="1"/>
    <col min="5" max="5" width="6.42578125" customWidth="1"/>
    <col min="6" max="6" width="12.85546875" customWidth="1"/>
    <col min="7" max="7" width="12" customWidth="1"/>
    <col min="8" max="9" width="14.28515625" hidden="1" customWidth="1"/>
    <col min="10" max="10" width="14.28515625" customWidth="1"/>
    <col min="11" max="12" width="11.7109375" customWidth="1"/>
    <col min="13" max="13" width="11.140625" hidden="1" customWidth="1"/>
    <col min="14" max="14" width="0" hidden="1" customWidth="1"/>
    <col min="15" max="48" width="12.140625" hidden="1" customWidth="1"/>
  </cols>
  <sheetData>
    <row r="1" spans="1:48" ht="72.95" customHeight="1">
      <c r="A1" s="138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</row>
    <row r="2" spans="1:48" ht="12.75" customHeight="1">
      <c r="A2" s="127" t="s">
        <v>1</v>
      </c>
      <c r="B2" s="128"/>
      <c r="C2" s="128"/>
      <c r="D2" s="129" t="s">
        <v>343</v>
      </c>
      <c r="E2" s="151" t="s">
        <v>615</v>
      </c>
      <c r="F2" s="128"/>
      <c r="G2" s="92" t="s">
        <v>6</v>
      </c>
      <c r="H2" s="93"/>
      <c r="J2" s="132" t="s">
        <v>633</v>
      </c>
      <c r="K2" s="152" t="s">
        <v>638</v>
      </c>
      <c r="L2" s="152"/>
      <c r="M2" s="139"/>
      <c r="N2" s="41"/>
    </row>
    <row r="3" spans="1:48">
      <c r="A3" s="124"/>
      <c r="B3" s="99"/>
      <c r="C3" s="99"/>
      <c r="D3" s="150"/>
      <c r="E3" s="99"/>
      <c r="F3" s="99"/>
      <c r="G3" s="26"/>
      <c r="H3" s="26"/>
      <c r="J3" s="99"/>
      <c r="K3" s="149"/>
      <c r="L3" s="149"/>
      <c r="M3" s="134"/>
      <c r="N3" s="41"/>
    </row>
    <row r="4" spans="1:48">
      <c r="A4" s="118" t="s">
        <v>2</v>
      </c>
      <c r="B4" s="99"/>
      <c r="C4" s="99"/>
      <c r="D4" s="98" t="s">
        <v>6</v>
      </c>
      <c r="E4" s="121" t="s">
        <v>616</v>
      </c>
      <c r="F4" s="99"/>
      <c r="G4" s="94" t="s">
        <v>627</v>
      </c>
      <c r="H4" s="26"/>
      <c r="J4" s="98" t="s">
        <v>634</v>
      </c>
      <c r="K4" s="149" t="s">
        <v>6</v>
      </c>
      <c r="L4" s="149"/>
      <c r="M4" s="134"/>
      <c r="N4" s="41"/>
    </row>
    <row r="5" spans="1:48">
      <c r="A5" s="124"/>
      <c r="B5" s="99"/>
      <c r="C5" s="99"/>
      <c r="D5" s="98"/>
      <c r="E5" s="99"/>
      <c r="F5" s="99"/>
      <c r="G5" s="26"/>
      <c r="H5" s="26"/>
      <c r="J5" s="99"/>
      <c r="K5" s="149"/>
      <c r="L5" s="149"/>
      <c r="M5" s="134"/>
      <c r="N5" s="41"/>
    </row>
    <row r="6" spans="1:48">
      <c r="A6" s="118" t="s">
        <v>3</v>
      </c>
      <c r="B6" s="99"/>
      <c r="C6" s="99"/>
      <c r="D6" s="98" t="s">
        <v>344</v>
      </c>
      <c r="E6" s="121" t="s">
        <v>617</v>
      </c>
      <c r="F6" s="99"/>
      <c r="G6" s="94" t="s">
        <v>6</v>
      </c>
      <c r="H6" s="26"/>
      <c r="J6" s="98" t="s">
        <v>635</v>
      </c>
      <c r="K6" s="145" t="s">
        <v>6</v>
      </c>
      <c r="L6" s="145"/>
      <c r="M6" s="146"/>
      <c r="N6" s="41"/>
    </row>
    <row r="7" spans="1:48">
      <c r="A7" s="124"/>
      <c r="B7" s="99"/>
      <c r="C7" s="99"/>
      <c r="D7" s="98"/>
      <c r="E7" s="99"/>
      <c r="F7" s="99"/>
      <c r="G7" s="26"/>
      <c r="H7" s="26"/>
      <c r="J7" s="99"/>
      <c r="K7" s="145"/>
      <c r="L7" s="145"/>
      <c r="M7" s="146"/>
      <c r="N7" s="41"/>
    </row>
    <row r="8" spans="1:48">
      <c r="A8" s="118" t="s">
        <v>4</v>
      </c>
      <c r="B8" s="99"/>
      <c r="C8" s="99"/>
      <c r="D8" s="98" t="s">
        <v>6</v>
      </c>
      <c r="E8" s="121" t="s">
        <v>618</v>
      </c>
      <c r="F8" s="99"/>
      <c r="G8" s="94" t="s">
        <v>627</v>
      </c>
      <c r="H8" s="26"/>
      <c r="J8" s="98" t="s">
        <v>636</v>
      </c>
      <c r="K8" s="145" t="s">
        <v>6</v>
      </c>
      <c r="L8" s="145"/>
      <c r="M8" s="146"/>
      <c r="N8" s="41"/>
    </row>
    <row r="9" spans="1:48" ht="13.5" thickBot="1">
      <c r="A9" s="136"/>
      <c r="B9" s="137"/>
      <c r="C9" s="137"/>
      <c r="D9" s="144"/>
      <c r="E9" s="137"/>
      <c r="F9" s="137"/>
      <c r="G9" s="91"/>
      <c r="H9" s="91"/>
      <c r="J9" s="137"/>
      <c r="K9" s="147"/>
      <c r="L9" s="147"/>
      <c r="M9" s="148"/>
      <c r="N9" s="41"/>
    </row>
    <row r="10" spans="1:48">
      <c r="A10" s="1" t="s">
        <v>5</v>
      </c>
      <c r="B10" s="11" t="s">
        <v>192</v>
      </c>
      <c r="C10" s="11" t="s">
        <v>201</v>
      </c>
      <c r="D10" s="80" t="s">
        <v>345</v>
      </c>
      <c r="E10" s="11" t="s">
        <v>619</v>
      </c>
      <c r="F10" s="17" t="s">
        <v>626</v>
      </c>
      <c r="G10" s="21" t="s">
        <v>628</v>
      </c>
      <c r="H10" s="140" t="s">
        <v>630</v>
      </c>
      <c r="I10" s="141"/>
      <c r="J10" s="142"/>
      <c r="K10" s="140" t="s">
        <v>640</v>
      </c>
      <c r="L10" s="142"/>
      <c r="M10" s="36" t="s">
        <v>641</v>
      </c>
      <c r="N10" s="42"/>
    </row>
    <row r="11" spans="1:48">
      <c r="A11" s="2" t="s">
        <v>6</v>
      </c>
      <c r="B11" s="12" t="s">
        <v>6</v>
      </c>
      <c r="C11" s="12" t="s">
        <v>6</v>
      </c>
      <c r="D11" s="81" t="s">
        <v>346</v>
      </c>
      <c r="E11" s="12" t="s">
        <v>6</v>
      </c>
      <c r="F11" s="12" t="s">
        <v>6</v>
      </c>
      <c r="G11" s="22" t="s">
        <v>629</v>
      </c>
      <c r="H11" s="30" t="s">
        <v>631</v>
      </c>
      <c r="I11" s="31" t="s">
        <v>637</v>
      </c>
      <c r="J11" s="32" t="s">
        <v>639</v>
      </c>
      <c r="K11" s="30" t="s">
        <v>628</v>
      </c>
      <c r="L11" s="32" t="s">
        <v>639</v>
      </c>
      <c r="M11" s="37" t="s">
        <v>642</v>
      </c>
      <c r="N11" s="42"/>
      <c r="P11" s="34" t="s">
        <v>646</v>
      </c>
      <c r="Q11" s="34" t="s">
        <v>647</v>
      </c>
      <c r="R11" s="34" t="s">
        <v>648</v>
      </c>
      <c r="S11" s="34" t="s">
        <v>649</v>
      </c>
      <c r="T11" s="34" t="s">
        <v>650</v>
      </c>
      <c r="U11" s="34" t="s">
        <v>651</v>
      </c>
      <c r="V11" s="34" t="s">
        <v>652</v>
      </c>
      <c r="W11" s="34" t="s">
        <v>653</v>
      </c>
      <c r="X11" s="34" t="s">
        <v>654</v>
      </c>
    </row>
    <row r="12" spans="1:48">
      <c r="A12" s="3"/>
      <c r="B12" s="13" t="s">
        <v>193</v>
      </c>
      <c r="C12" s="13"/>
      <c r="D12" s="82" t="s">
        <v>347</v>
      </c>
      <c r="E12" s="3" t="s">
        <v>6</v>
      </c>
      <c r="F12" s="3" t="s">
        <v>6</v>
      </c>
      <c r="G12" s="23" t="s">
        <v>6</v>
      </c>
      <c r="H12" s="45">
        <f>H13+H16+H21+H30</f>
        <v>12445.92446844068</v>
      </c>
      <c r="I12" s="45">
        <f>I13+I16+I21+I30</f>
        <v>66171.376531559319</v>
      </c>
      <c r="J12" s="45">
        <f>H12+I12</f>
        <v>78617.301000000007</v>
      </c>
      <c r="K12" s="33"/>
      <c r="L12" s="45">
        <f>L13+L16+L21+L30</f>
        <v>7.6240673999999995</v>
      </c>
      <c r="M12" s="33"/>
    </row>
    <row r="13" spans="1:48">
      <c r="A13" s="4"/>
      <c r="B13" s="14" t="s">
        <v>193</v>
      </c>
      <c r="C13" s="14" t="s">
        <v>27</v>
      </c>
      <c r="D13" s="83" t="s">
        <v>348</v>
      </c>
      <c r="E13" s="4" t="s">
        <v>6</v>
      </c>
      <c r="F13" s="4" t="s">
        <v>6</v>
      </c>
      <c r="G13" s="24" t="s">
        <v>6</v>
      </c>
      <c r="H13" s="46">
        <f>SUM(H14:H14)</f>
        <v>0</v>
      </c>
      <c r="I13" s="46">
        <f>SUM(I14:I14)</f>
        <v>10838.519999999999</v>
      </c>
      <c r="J13" s="46">
        <f>H13+I13</f>
        <v>10838.519999999999</v>
      </c>
      <c r="K13" s="34"/>
      <c r="L13" s="46">
        <f>SUM(L14:L14)</f>
        <v>0</v>
      </c>
      <c r="M13" s="34"/>
      <c r="Y13" s="34" t="s">
        <v>193</v>
      </c>
      <c r="AI13" s="46">
        <f>SUM(Z14:Z14)</f>
        <v>0</v>
      </c>
      <c r="AJ13" s="46">
        <f>SUM(AA14:AA14)</f>
        <v>0</v>
      </c>
      <c r="AK13" s="46">
        <f>SUM(AB14:AB14)</f>
        <v>10838.519999999999</v>
      </c>
    </row>
    <row r="14" spans="1:48">
      <c r="A14" s="5" t="s">
        <v>7</v>
      </c>
      <c r="B14" s="5" t="s">
        <v>193</v>
      </c>
      <c r="C14" s="5" t="s">
        <v>202</v>
      </c>
      <c r="D14" s="84" t="s">
        <v>349</v>
      </c>
      <c r="E14" s="5" t="s">
        <v>620</v>
      </c>
      <c r="F14" s="76">
        <v>70.38</v>
      </c>
      <c r="G14" s="25">
        <v>154</v>
      </c>
      <c r="H14" s="18">
        <f>F14*AE14</f>
        <v>0</v>
      </c>
      <c r="I14" s="18">
        <f>J14-H14</f>
        <v>10838.519999999999</v>
      </c>
      <c r="J14" s="18">
        <f>F14*G14</f>
        <v>10838.519999999999</v>
      </c>
      <c r="K14" s="18">
        <v>0</v>
      </c>
      <c r="L14" s="18">
        <f>F14*K14</f>
        <v>0</v>
      </c>
      <c r="M14" s="38" t="s">
        <v>643</v>
      </c>
      <c r="P14" s="43">
        <f>IF(AG14="5",J14,0)</f>
        <v>0</v>
      </c>
      <c r="R14" s="43">
        <f>IF(AG14="1",H14,0)</f>
        <v>0</v>
      </c>
      <c r="S14" s="43">
        <f>IF(AG14="1",I14,0)</f>
        <v>10838.519999999999</v>
      </c>
      <c r="T14" s="43">
        <f>IF(AG14="7",H14,0)</f>
        <v>0</v>
      </c>
      <c r="U14" s="43">
        <f>IF(AG14="7",I14,0)</f>
        <v>0</v>
      </c>
      <c r="V14" s="43">
        <f>IF(AG14="2",H14,0)</f>
        <v>0</v>
      </c>
      <c r="W14" s="43">
        <f>IF(AG14="2",I14,0)</f>
        <v>0</v>
      </c>
      <c r="X14" s="43">
        <f>IF(AG14="0",J14,0)</f>
        <v>0</v>
      </c>
      <c r="Y14" s="34" t="s">
        <v>193</v>
      </c>
      <c r="Z14" s="18">
        <f>IF(AD14=0,J14,0)</f>
        <v>0</v>
      </c>
      <c r="AA14" s="18">
        <f>IF(AD14=15,J14,0)</f>
        <v>0</v>
      </c>
      <c r="AB14" s="18">
        <f>IF(AD14=21,J14,0)</f>
        <v>10838.519999999999</v>
      </c>
      <c r="AD14" s="43">
        <v>21</v>
      </c>
      <c r="AE14" s="43">
        <f>G14*0</f>
        <v>0</v>
      </c>
      <c r="AF14" s="43">
        <f>G14*(1-0)</f>
        <v>154</v>
      </c>
      <c r="AG14" s="38" t="s">
        <v>7</v>
      </c>
      <c r="AM14" s="43">
        <f>F14*AE14</f>
        <v>0</v>
      </c>
      <c r="AN14" s="43">
        <f>F14*AF14</f>
        <v>10838.519999999999</v>
      </c>
      <c r="AO14" s="44" t="s">
        <v>655</v>
      </c>
      <c r="AP14" s="44" t="s">
        <v>678</v>
      </c>
      <c r="AQ14" s="34" t="s">
        <v>709</v>
      </c>
      <c r="AS14" s="43">
        <f>AM14+AN14</f>
        <v>10838.519999999999</v>
      </c>
      <c r="AT14" s="43">
        <f>G14/(100-AU14)*100</f>
        <v>154</v>
      </c>
      <c r="AU14" s="43">
        <v>0</v>
      </c>
      <c r="AV14" s="43">
        <f>L14</f>
        <v>0</v>
      </c>
    </row>
    <row r="15" spans="1:48">
      <c r="D15" s="85" t="s">
        <v>350</v>
      </c>
      <c r="F15" s="77">
        <v>70.38</v>
      </c>
      <c r="G15" s="26"/>
    </row>
    <row r="16" spans="1:48">
      <c r="A16" s="4"/>
      <c r="B16" s="14" t="s">
        <v>193</v>
      </c>
      <c r="C16" s="14" t="s">
        <v>68</v>
      </c>
      <c r="D16" s="83" t="s">
        <v>351</v>
      </c>
      <c r="E16" s="4" t="s">
        <v>6</v>
      </c>
      <c r="F16" s="4" t="s">
        <v>6</v>
      </c>
      <c r="G16" s="24" t="s">
        <v>6</v>
      </c>
      <c r="H16" s="46">
        <f>SUM(H17:H19)</f>
        <v>10905.115644911268</v>
      </c>
      <c r="I16" s="46">
        <f>SUM(I17:I19)</f>
        <v>40261.144355088734</v>
      </c>
      <c r="J16" s="46">
        <f>H16+I16</f>
        <v>51166.26</v>
      </c>
      <c r="K16" s="34"/>
      <c r="L16" s="46">
        <f>SUM(L17:L19)</f>
        <v>6.2448173999999996</v>
      </c>
      <c r="M16" s="34"/>
      <c r="Y16" s="34" t="s">
        <v>193</v>
      </c>
      <c r="AI16" s="46">
        <f>SUM(Z17:Z19)</f>
        <v>0</v>
      </c>
      <c r="AJ16" s="46">
        <f>SUM(AA17:AA19)</f>
        <v>0</v>
      </c>
      <c r="AK16" s="46">
        <f>SUM(AB17:AB19)</f>
        <v>51166.259999999995</v>
      </c>
    </row>
    <row r="17" spans="1:48">
      <c r="A17" s="5" t="s">
        <v>8</v>
      </c>
      <c r="B17" s="5" t="s">
        <v>193</v>
      </c>
      <c r="C17" s="5" t="s">
        <v>203</v>
      </c>
      <c r="D17" s="84" t="s">
        <v>352</v>
      </c>
      <c r="E17" s="5" t="s">
        <v>620</v>
      </c>
      <c r="F17" s="76">
        <v>70.38</v>
      </c>
      <c r="G17" s="25">
        <v>244.5</v>
      </c>
      <c r="H17" s="18">
        <f>F17*AE17</f>
        <v>7157.6791850687578</v>
      </c>
      <c r="I17" s="18">
        <f>J17-H17</f>
        <v>10050.230814931241</v>
      </c>
      <c r="J17" s="18">
        <f>F17*G17</f>
        <v>17207.91</v>
      </c>
      <c r="K17" s="18">
        <v>3.6150000000000002E-2</v>
      </c>
      <c r="L17" s="18">
        <f>F17*K17</f>
        <v>2.5442369999999999</v>
      </c>
      <c r="M17" s="38" t="s">
        <v>643</v>
      </c>
      <c r="P17" s="43">
        <f>IF(AG17="5",J17,0)</f>
        <v>0</v>
      </c>
      <c r="R17" s="43">
        <f>IF(AG17="1",H17,0)</f>
        <v>7157.6791850687578</v>
      </c>
      <c r="S17" s="43">
        <f>IF(AG17="1",I17,0)</f>
        <v>10050.230814931241</v>
      </c>
      <c r="T17" s="43">
        <f>IF(AG17="7",H17,0)</f>
        <v>0</v>
      </c>
      <c r="U17" s="43">
        <f>IF(AG17="7",I17,0)</f>
        <v>0</v>
      </c>
      <c r="V17" s="43">
        <f>IF(AG17="2",H17,0)</f>
        <v>0</v>
      </c>
      <c r="W17" s="43">
        <f>IF(AG17="2",I17,0)</f>
        <v>0</v>
      </c>
      <c r="X17" s="43">
        <f>IF(AG17="0",J17,0)</f>
        <v>0</v>
      </c>
      <c r="Y17" s="34" t="s">
        <v>193</v>
      </c>
      <c r="Z17" s="18">
        <f>IF(AD17=0,J17,0)</f>
        <v>0</v>
      </c>
      <c r="AA17" s="18">
        <f>IF(AD17=15,J17,0)</f>
        <v>0</v>
      </c>
      <c r="AB17" s="18">
        <f>IF(AD17=21,J17,0)</f>
        <v>17207.91</v>
      </c>
      <c r="AD17" s="43">
        <v>21</v>
      </c>
      <c r="AE17" s="43">
        <f>G17*0.415952848722986</f>
        <v>101.70047151277008</v>
      </c>
      <c r="AF17" s="43">
        <f>G17*(1-0.415952848722986)</f>
        <v>142.79952848722994</v>
      </c>
      <c r="AG17" s="38" t="s">
        <v>7</v>
      </c>
      <c r="AM17" s="43">
        <f>F17*AE17</f>
        <v>7157.6791850687578</v>
      </c>
      <c r="AN17" s="43">
        <f>F17*AF17</f>
        <v>10050.230814931243</v>
      </c>
      <c r="AO17" s="44" t="s">
        <v>656</v>
      </c>
      <c r="AP17" s="44" t="s">
        <v>679</v>
      </c>
      <c r="AQ17" s="34" t="s">
        <v>709</v>
      </c>
      <c r="AS17" s="43">
        <f>AM17+AN17</f>
        <v>17207.91</v>
      </c>
      <c r="AT17" s="43">
        <f>G17/(100-AU17)*100</f>
        <v>244.49999999999997</v>
      </c>
      <c r="AU17" s="43">
        <v>0</v>
      </c>
      <c r="AV17" s="43">
        <f>L17</f>
        <v>2.5442369999999999</v>
      </c>
    </row>
    <row r="18" spans="1:48">
      <c r="D18" s="85" t="s">
        <v>350</v>
      </c>
      <c r="F18" s="77">
        <v>70.38</v>
      </c>
      <c r="G18" s="26"/>
    </row>
    <row r="19" spans="1:48">
      <c r="A19" s="5" t="s">
        <v>9</v>
      </c>
      <c r="B19" s="5" t="s">
        <v>193</v>
      </c>
      <c r="C19" s="5" t="s">
        <v>204</v>
      </c>
      <c r="D19" s="84" t="s">
        <v>353</v>
      </c>
      <c r="E19" s="5" t="s">
        <v>620</v>
      </c>
      <c r="F19" s="76">
        <v>70.38</v>
      </c>
      <c r="G19" s="25">
        <v>482.5</v>
      </c>
      <c r="H19" s="18">
        <f>F19*AE19</f>
        <v>3747.4364598425104</v>
      </c>
      <c r="I19" s="18">
        <f>J19-H19</f>
        <v>30210.913540157489</v>
      </c>
      <c r="J19" s="18">
        <f>F19*G19</f>
        <v>33958.35</v>
      </c>
      <c r="K19" s="18">
        <v>5.2580000000000002E-2</v>
      </c>
      <c r="L19" s="18">
        <f>F19*K19</f>
        <v>3.7005803999999998</v>
      </c>
      <c r="M19" s="38" t="s">
        <v>643</v>
      </c>
      <c r="P19" s="43">
        <f>IF(AG19="5",J19,0)</f>
        <v>0</v>
      </c>
      <c r="R19" s="43">
        <f>IF(AG19="1",H19,0)</f>
        <v>3747.4364598425104</v>
      </c>
      <c r="S19" s="43">
        <f>IF(AG19="1",I19,0)</f>
        <v>30210.913540157489</v>
      </c>
      <c r="T19" s="43">
        <f>IF(AG19="7",H19,0)</f>
        <v>0</v>
      </c>
      <c r="U19" s="43">
        <f>IF(AG19="7",I19,0)</f>
        <v>0</v>
      </c>
      <c r="V19" s="43">
        <f>IF(AG19="2",H19,0)</f>
        <v>0</v>
      </c>
      <c r="W19" s="43">
        <f>IF(AG19="2",I19,0)</f>
        <v>0</v>
      </c>
      <c r="X19" s="43">
        <f>IF(AG19="0",J19,0)</f>
        <v>0</v>
      </c>
      <c r="Y19" s="34" t="s">
        <v>193</v>
      </c>
      <c r="Z19" s="18">
        <f>IF(AD19=0,J19,0)</f>
        <v>0</v>
      </c>
      <c r="AA19" s="18">
        <f>IF(AD19=15,J19,0)</f>
        <v>0</v>
      </c>
      <c r="AB19" s="18">
        <f>IF(AD19=21,J19,0)</f>
        <v>33958.35</v>
      </c>
      <c r="AD19" s="43">
        <v>21</v>
      </c>
      <c r="AE19" s="43">
        <f>G19*0.110353902938232</f>
        <v>53.245758167696941</v>
      </c>
      <c r="AF19" s="43">
        <f>G19*(1-0.110353902938232)</f>
        <v>429.25424183230308</v>
      </c>
      <c r="AG19" s="38" t="s">
        <v>7</v>
      </c>
      <c r="AM19" s="43">
        <f>F19*AE19</f>
        <v>3747.4364598425104</v>
      </c>
      <c r="AN19" s="43">
        <f>F19*AF19</f>
        <v>30210.913540157489</v>
      </c>
      <c r="AO19" s="44" t="s">
        <v>656</v>
      </c>
      <c r="AP19" s="44" t="s">
        <v>679</v>
      </c>
      <c r="AQ19" s="34" t="s">
        <v>709</v>
      </c>
      <c r="AS19" s="43">
        <f>AM19+AN19</f>
        <v>33958.35</v>
      </c>
      <c r="AT19" s="43">
        <f>G19/(100-AU19)*100</f>
        <v>482.5</v>
      </c>
      <c r="AU19" s="43">
        <v>0</v>
      </c>
      <c r="AV19" s="43">
        <f>L19</f>
        <v>3.7005803999999998</v>
      </c>
    </row>
    <row r="20" spans="1:48">
      <c r="D20" s="85" t="s">
        <v>350</v>
      </c>
      <c r="F20" s="77">
        <v>70.38</v>
      </c>
      <c r="G20" s="26"/>
    </row>
    <row r="21" spans="1:48">
      <c r="A21" s="4"/>
      <c r="B21" s="14" t="s">
        <v>193</v>
      </c>
      <c r="C21" s="14" t="s">
        <v>100</v>
      </c>
      <c r="D21" s="83" t="s">
        <v>354</v>
      </c>
      <c r="E21" s="4" t="s">
        <v>6</v>
      </c>
      <c r="F21" s="4" t="s">
        <v>6</v>
      </c>
      <c r="G21" s="24" t="s">
        <v>6</v>
      </c>
      <c r="H21" s="46">
        <f>SUM(H22:H29)</f>
        <v>1540.8088235294117</v>
      </c>
      <c r="I21" s="46">
        <f>SUM(I22:I29)</f>
        <v>12409.191176470587</v>
      </c>
      <c r="J21" s="46">
        <f>H21+I21</f>
        <v>13950</v>
      </c>
      <c r="K21" s="34"/>
      <c r="L21" s="46">
        <f>SUM(L22:L29)</f>
        <v>1.3792500000000001</v>
      </c>
      <c r="M21" s="34"/>
      <c r="Y21" s="34" t="s">
        <v>193</v>
      </c>
      <c r="AI21" s="46">
        <f>SUM(Z22:Z29)</f>
        <v>0</v>
      </c>
      <c r="AJ21" s="46">
        <f>SUM(AA22:AA29)</f>
        <v>0</v>
      </c>
      <c r="AK21" s="46">
        <f>SUM(AB22:AB29)</f>
        <v>13950</v>
      </c>
    </row>
    <row r="22" spans="1:48">
      <c r="A22" s="5" t="s">
        <v>10</v>
      </c>
      <c r="B22" s="5" t="s">
        <v>193</v>
      </c>
      <c r="C22" s="5" t="s">
        <v>205</v>
      </c>
      <c r="D22" s="84" t="s">
        <v>355</v>
      </c>
      <c r="E22" s="5" t="s">
        <v>620</v>
      </c>
      <c r="F22" s="76">
        <v>75</v>
      </c>
      <c r="G22" s="25">
        <v>75</v>
      </c>
      <c r="H22" s="18">
        <f>F22*AE22</f>
        <v>3.3088235294117645</v>
      </c>
      <c r="I22" s="18">
        <f>J22-H22</f>
        <v>5621.6911764705883</v>
      </c>
      <c r="J22" s="18">
        <f>F22*G22</f>
        <v>5625</v>
      </c>
      <c r="K22" s="18">
        <v>1.8380000000000001E-2</v>
      </c>
      <c r="L22" s="18">
        <f>F22*K22</f>
        <v>1.3785000000000001</v>
      </c>
      <c r="M22" s="38" t="s">
        <v>644</v>
      </c>
      <c r="P22" s="43">
        <f>IF(AG22="5",J22,0)</f>
        <v>0</v>
      </c>
      <c r="R22" s="43">
        <f>IF(AG22="1",H22,0)</f>
        <v>3.3088235294117645</v>
      </c>
      <c r="S22" s="43">
        <f>IF(AG22="1",I22,0)</f>
        <v>5621.6911764705883</v>
      </c>
      <c r="T22" s="43">
        <f>IF(AG22="7",H22,0)</f>
        <v>0</v>
      </c>
      <c r="U22" s="43">
        <f>IF(AG22="7",I22,0)</f>
        <v>0</v>
      </c>
      <c r="V22" s="43">
        <f>IF(AG22="2",H22,0)</f>
        <v>0</v>
      </c>
      <c r="W22" s="43">
        <f>IF(AG22="2",I22,0)</f>
        <v>0</v>
      </c>
      <c r="X22" s="43">
        <f>IF(AG22="0",J22,0)</f>
        <v>0</v>
      </c>
      <c r="Y22" s="34" t="s">
        <v>193</v>
      </c>
      <c r="Z22" s="18">
        <f>IF(AD22=0,J22,0)</f>
        <v>0</v>
      </c>
      <c r="AA22" s="18">
        <f>IF(AD22=15,J22,0)</f>
        <v>0</v>
      </c>
      <c r="AB22" s="18">
        <f>IF(AD22=21,J22,0)</f>
        <v>5625</v>
      </c>
      <c r="AD22" s="43">
        <v>21</v>
      </c>
      <c r="AE22" s="43">
        <f>G22*0.000588235294117647</f>
        <v>4.4117647058823525E-2</v>
      </c>
      <c r="AF22" s="43">
        <f>G22*(1-0.000588235294117647)</f>
        <v>74.955882352941174</v>
      </c>
      <c r="AG22" s="38" t="s">
        <v>7</v>
      </c>
      <c r="AM22" s="43">
        <f>F22*AE22</f>
        <v>3.3088235294117645</v>
      </c>
      <c r="AN22" s="43">
        <f>F22*AF22</f>
        <v>5621.6911764705883</v>
      </c>
      <c r="AO22" s="44" t="s">
        <v>657</v>
      </c>
      <c r="AP22" s="44" t="s">
        <v>680</v>
      </c>
      <c r="AQ22" s="34" t="s">
        <v>709</v>
      </c>
      <c r="AS22" s="43">
        <f>AM22+AN22</f>
        <v>5625</v>
      </c>
      <c r="AT22" s="43">
        <f>G22/(100-AU22)*100</f>
        <v>75</v>
      </c>
      <c r="AU22" s="43">
        <v>0</v>
      </c>
      <c r="AV22" s="43">
        <f>L22</f>
        <v>1.3785000000000001</v>
      </c>
    </row>
    <row r="23" spans="1:48">
      <c r="A23" s="5" t="s">
        <v>11</v>
      </c>
      <c r="B23" s="5" t="s">
        <v>193</v>
      </c>
      <c r="C23" s="5" t="s">
        <v>206</v>
      </c>
      <c r="D23" s="84" t="s">
        <v>356</v>
      </c>
      <c r="E23" s="5" t="s">
        <v>620</v>
      </c>
      <c r="F23" s="76">
        <v>75</v>
      </c>
      <c r="G23" s="25">
        <v>50</v>
      </c>
      <c r="H23" s="18">
        <f>F23*AE23</f>
        <v>0</v>
      </c>
      <c r="I23" s="18">
        <f>J23-H23</f>
        <v>3750</v>
      </c>
      <c r="J23" s="18">
        <f>F23*G23</f>
        <v>3750</v>
      </c>
      <c r="K23" s="18">
        <v>0</v>
      </c>
      <c r="L23" s="18">
        <f>F23*K23</f>
        <v>0</v>
      </c>
      <c r="M23" s="38" t="s">
        <v>644</v>
      </c>
      <c r="P23" s="43">
        <f>IF(AG23="5",J23,0)</f>
        <v>0</v>
      </c>
      <c r="R23" s="43">
        <f>IF(AG23="1",H23,0)</f>
        <v>0</v>
      </c>
      <c r="S23" s="43">
        <f>IF(AG23="1",I23,0)</f>
        <v>3750</v>
      </c>
      <c r="T23" s="43">
        <f>IF(AG23="7",H23,0)</f>
        <v>0</v>
      </c>
      <c r="U23" s="43">
        <f>IF(AG23="7",I23,0)</f>
        <v>0</v>
      </c>
      <c r="V23" s="43">
        <f>IF(AG23="2",H23,0)</f>
        <v>0</v>
      </c>
      <c r="W23" s="43">
        <f>IF(AG23="2",I23,0)</f>
        <v>0</v>
      </c>
      <c r="X23" s="43">
        <f>IF(AG23="0",J23,0)</f>
        <v>0</v>
      </c>
      <c r="Y23" s="34" t="s">
        <v>193</v>
      </c>
      <c r="Z23" s="18">
        <f>IF(AD23=0,J23,0)</f>
        <v>0</v>
      </c>
      <c r="AA23" s="18">
        <f>IF(AD23=15,J23,0)</f>
        <v>0</v>
      </c>
      <c r="AB23" s="18">
        <f>IF(AD23=21,J23,0)</f>
        <v>3750</v>
      </c>
      <c r="AD23" s="43">
        <v>21</v>
      </c>
      <c r="AE23" s="43">
        <f>G23*0</f>
        <v>0</v>
      </c>
      <c r="AF23" s="43">
        <f>G23*(1-0)</f>
        <v>50</v>
      </c>
      <c r="AG23" s="38" t="s">
        <v>7</v>
      </c>
      <c r="AM23" s="43">
        <f>F23*AE23</f>
        <v>0</v>
      </c>
      <c r="AN23" s="43">
        <f>F23*AF23</f>
        <v>3750</v>
      </c>
      <c r="AO23" s="44" t="s">
        <v>657</v>
      </c>
      <c r="AP23" s="44" t="s">
        <v>680</v>
      </c>
      <c r="AQ23" s="34" t="s">
        <v>709</v>
      </c>
      <c r="AS23" s="43">
        <f>AM23+AN23</f>
        <v>3750</v>
      </c>
      <c r="AT23" s="43">
        <f>G23/(100-AU23)*100</f>
        <v>50</v>
      </c>
      <c r="AU23" s="43">
        <v>0</v>
      </c>
      <c r="AV23" s="43">
        <f>L23</f>
        <v>0</v>
      </c>
    </row>
    <row r="24" spans="1:48">
      <c r="A24" s="5" t="s">
        <v>12</v>
      </c>
      <c r="B24" s="5" t="s">
        <v>193</v>
      </c>
      <c r="C24" s="5" t="s">
        <v>207</v>
      </c>
      <c r="D24" s="84" t="s">
        <v>357</v>
      </c>
      <c r="E24" s="5" t="s">
        <v>620</v>
      </c>
      <c r="F24" s="76">
        <v>750</v>
      </c>
      <c r="G24" s="25">
        <v>2</v>
      </c>
      <c r="H24" s="18">
        <f>F24*AE24</f>
        <v>0</v>
      </c>
      <c r="I24" s="18">
        <f>J24-H24</f>
        <v>1500</v>
      </c>
      <c r="J24" s="18">
        <f>F24*G24</f>
        <v>1500</v>
      </c>
      <c r="K24" s="18">
        <v>0</v>
      </c>
      <c r="L24" s="18">
        <f>F24*K24</f>
        <v>0</v>
      </c>
      <c r="M24" s="38" t="s">
        <v>643</v>
      </c>
      <c r="P24" s="43">
        <f>IF(AG24="5",J24,0)</f>
        <v>0</v>
      </c>
      <c r="R24" s="43">
        <f>IF(AG24="1",H24,0)</f>
        <v>0</v>
      </c>
      <c r="S24" s="43">
        <f>IF(AG24="1",I24,0)</f>
        <v>1500</v>
      </c>
      <c r="T24" s="43">
        <f>IF(AG24="7",H24,0)</f>
        <v>0</v>
      </c>
      <c r="U24" s="43">
        <f>IF(AG24="7",I24,0)</f>
        <v>0</v>
      </c>
      <c r="V24" s="43">
        <f>IF(AG24="2",H24,0)</f>
        <v>0</v>
      </c>
      <c r="W24" s="43">
        <f>IF(AG24="2",I24,0)</f>
        <v>0</v>
      </c>
      <c r="X24" s="43">
        <f>IF(AG24="0",J24,0)</f>
        <v>0</v>
      </c>
      <c r="Y24" s="34" t="s">
        <v>193</v>
      </c>
      <c r="Z24" s="18">
        <f>IF(AD24=0,J24,0)</f>
        <v>0</v>
      </c>
      <c r="AA24" s="18">
        <f>IF(AD24=15,J24,0)</f>
        <v>0</v>
      </c>
      <c r="AB24" s="18">
        <f>IF(AD24=21,J24,0)</f>
        <v>1500</v>
      </c>
      <c r="AD24" s="43">
        <v>21</v>
      </c>
      <c r="AE24" s="43">
        <f>G24*0</f>
        <v>0</v>
      </c>
      <c r="AF24" s="43">
        <f>G24*(1-0)</f>
        <v>2</v>
      </c>
      <c r="AG24" s="38" t="s">
        <v>7</v>
      </c>
      <c r="AM24" s="43">
        <f>F24*AE24</f>
        <v>0</v>
      </c>
      <c r="AN24" s="43">
        <f>F24*AF24</f>
        <v>1500</v>
      </c>
      <c r="AO24" s="44" t="s">
        <v>657</v>
      </c>
      <c r="AP24" s="44" t="s">
        <v>680</v>
      </c>
      <c r="AQ24" s="34" t="s">
        <v>709</v>
      </c>
      <c r="AS24" s="43">
        <f>AM24+AN24</f>
        <v>1500</v>
      </c>
      <c r="AT24" s="43">
        <f>G24/(100-AU24)*100</f>
        <v>2</v>
      </c>
      <c r="AU24" s="43">
        <v>0</v>
      </c>
      <c r="AV24" s="43">
        <f>L24</f>
        <v>0</v>
      </c>
    </row>
    <row r="25" spans="1:48">
      <c r="D25" s="85" t="s">
        <v>358</v>
      </c>
      <c r="F25" s="77">
        <v>750</v>
      </c>
      <c r="G25" s="26"/>
    </row>
    <row r="26" spans="1:48">
      <c r="A26" s="5" t="s">
        <v>13</v>
      </c>
      <c r="B26" s="5" t="s">
        <v>193</v>
      </c>
      <c r="C26" s="5" t="s">
        <v>208</v>
      </c>
      <c r="D26" s="84" t="s">
        <v>359</v>
      </c>
      <c r="E26" s="5" t="s">
        <v>620</v>
      </c>
      <c r="F26" s="76">
        <v>75</v>
      </c>
      <c r="G26" s="25">
        <v>12.9</v>
      </c>
      <c r="H26" s="18">
        <f>F26*AE26</f>
        <v>0</v>
      </c>
      <c r="I26" s="18">
        <f>J26-H26</f>
        <v>967.5</v>
      </c>
      <c r="J26" s="18">
        <f>F26*G26</f>
        <v>967.5</v>
      </c>
      <c r="K26" s="18">
        <v>0</v>
      </c>
      <c r="L26" s="18">
        <f>F26*K26</f>
        <v>0</v>
      </c>
      <c r="M26" s="38" t="s">
        <v>644</v>
      </c>
      <c r="P26" s="43">
        <f>IF(AG26="5",J26,0)</f>
        <v>0</v>
      </c>
      <c r="R26" s="43">
        <f>IF(AG26="1",H26,0)</f>
        <v>0</v>
      </c>
      <c r="S26" s="43">
        <f>IF(AG26="1",I26,0)</f>
        <v>967.5</v>
      </c>
      <c r="T26" s="43">
        <f>IF(AG26="7",H26,0)</f>
        <v>0</v>
      </c>
      <c r="U26" s="43">
        <f>IF(AG26="7",I26,0)</f>
        <v>0</v>
      </c>
      <c r="V26" s="43">
        <f>IF(AG26="2",H26,0)</f>
        <v>0</v>
      </c>
      <c r="W26" s="43">
        <f>IF(AG26="2",I26,0)</f>
        <v>0</v>
      </c>
      <c r="X26" s="43">
        <f>IF(AG26="0",J26,0)</f>
        <v>0</v>
      </c>
      <c r="Y26" s="34" t="s">
        <v>193</v>
      </c>
      <c r="Z26" s="18">
        <f>IF(AD26=0,J26,0)</f>
        <v>0</v>
      </c>
      <c r="AA26" s="18">
        <f>IF(AD26=15,J26,0)</f>
        <v>0</v>
      </c>
      <c r="AB26" s="18">
        <f>IF(AD26=21,J26,0)</f>
        <v>967.5</v>
      </c>
      <c r="AD26" s="43">
        <v>21</v>
      </c>
      <c r="AE26" s="43">
        <f>G26*0</f>
        <v>0</v>
      </c>
      <c r="AF26" s="43">
        <f>G26*(1-0)</f>
        <v>12.9</v>
      </c>
      <c r="AG26" s="38" t="s">
        <v>7</v>
      </c>
      <c r="AM26" s="43">
        <f>F26*AE26</f>
        <v>0</v>
      </c>
      <c r="AN26" s="43">
        <f>F26*AF26</f>
        <v>967.5</v>
      </c>
      <c r="AO26" s="44" t="s">
        <v>657</v>
      </c>
      <c r="AP26" s="44" t="s">
        <v>680</v>
      </c>
      <c r="AQ26" s="34" t="s">
        <v>709</v>
      </c>
      <c r="AS26" s="43">
        <f>AM26+AN26</f>
        <v>967.5</v>
      </c>
      <c r="AT26" s="43">
        <f>G26/(100-AU26)*100</f>
        <v>12.9</v>
      </c>
      <c r="AU26" s="43">
        <v>0</v>
      </c>
      <c r="AV26" s="43">
        <f>L26</f>
        <v>0</v>
      </c>
    </row>
    <row r="27" spans="1:48">
      <c r="A27" s="6" t="s">
        <v>14</v>
      </c>
      <c r="B27" s="6" t="s">
        <v>193</v>
      </c>
      <c r="C27" s="6" t="s">
        <v>209</v>
      </c>
      <c r="D27" s="86" t="s">
        <v>360</v>
      </c>
      <c r="E27" s="6" t="s">
        <v>620</v>
      </c>
      <c r="F27" s="78">
        <v>75</v>
      </c>
      <c r="G27" s="27">
        <v>20.5</v>
      </c>
      <c r="H27" s="19">
        <f>F27*AE27</f>
        <v>1537.5</v>
      </c>
      <c r="I27" s="19">
        <f>J27-H27</f>
        <v>0</v>
      </c>
      <c r="J27" s="19">
        <f>F27*G27</f>
        <v>1537.5</v>
      </c>
      <c r="K27" s="19">
        <v>1.0000000000000001E-5</v>
      </c>
      <c r="L27" s="19">
        <f>F27*K27</f>
        <v>7.5000000000000002E-4</v>
      </c>
      <c r="M27" s="39" t="s">
        <v>643</v>
      </c>
      <c r="P27" s="43">
        <f>IF(AG27="5",J27,0)</f>
        <v>0</v>
      </c>
      <c r="R27" s="43">
        <f>IF(AG27="1",H27,0)</f>
        <v>1537.5</v>
      </c>
      <c r="S27" s="43">
        <f>IF(AG27="1",I27,0)</f>
        <v>0</v>
      </c>
      <c r="T27" s="43">
        <f>IF(AG27="7",H27,0)</f>
        <v>0</v>
      </c>
      <c r="U27" s="43">
        <f>IF(AG27="7",I27,0)</f>
        <v>0</v>
      </c>
      <c r="V27" s="43">
        <f>IF(AG27="2",H27,0)</f>
        <v>0</v>
      </c>
      <c r="W27" s="43">
        <f>IF(AG27="2",I27,0)</f>
        <v>0</v>
      </c>
      <c r="X27" s="43">
        <f>IF(AG27="0",J27,0)</f>
        <v>0</v>
      </c>
      <c r="Y27" s="34" t="s">
        <v>193</v>
      </c>
      <c r="Z27" s="19">
        <f>IF(AD27=0,J27,0)</f>
        <v>0</v>
      </c>
      <c r="AA27" s="19">
        <f>IF(AD27=15,J27,0)</f>
        <v>0</v>
      </c>
      <c r="AB27" s="19">
        <f>IF(AD27=21,J27,0)</f>
        <v>1537.5</v>
      </c>
      <c r="AD27" s="43">
        <v>21</v>
      </c>
      <c r="AE27" s="43">
        <f>G27*1</f>
        <v>20.5</v>
      </c>
      <c r="AF27" s="43">
        <f>G27*(1-1)</f>
        <v>0</v>
      </c>
      <c r="AG27" s="39" t="s">
        <v>7</v>
      </c>
      <c r="AM27" s="43">
        <f>F27*AE27</f>
        <v>1537.5</v>
      </c>
      <c r="AN27" s="43">
        <f>F27*AF27</f>
        <v>0</v>
      </c>
      <c r="AO27" s="44" t="s">
        <v>657</v>
      </c>
      <c r="AP27" s="44" t="s">
        <v>680</v>
      </c>
      <c r="AQ27" s="34" t="s">
        <v>709</v>
      </c>
      <c r="AS27" s="43">
        <f>AM27+AN27</f>
        <v>1537.5</v>
      </c>
      <c r="AT27" s="43">
        <f>G27/(100-AU27)*100</f>
        <v>20.5</v>
      </c>
      <c r="AU27" s="43">
        <v>0</v>
      </c>
      <c r="AV27" s="43">
        <f>L27</f>
        <v>7.5000000000000002E-4</v>
      </c>
    </row>
    <row r="28" spans="1:48">
      <c r="D28" s="85" t="s">
        <v>81</v>
      </c>
      <c r="F28" s="77">
        <v>75</v>
      </c>
      <c r="G28" s="26"/>
    </row>
    <row r="29" spans="1:48">
      <c r="A29" s="5" t="s">
        <v>15</v>
      </c>
      <c r="B29" s="5" t="s">
        <v>193</v>
      </c>
      <c r="C29" s="5" t="s">
        <v>210</v>
      </c>
      <c r="D29" s="84" t="s">
        <v>361</v>
      </c>
      <c r="E29" s="5" t="s">
        <v>620</v>
      </c>
      <c r="F29" s="76">
        <v>75</v>
      </c>
      <c r="G29" s="25">
        <v>7.6</v>
      </c>
      <c r="H29" s="18">
        <f>F29*AE29</f>
        <v>0</v>
      </c>
      <c r="I29" s="18">
        <f>J29-H29</f>
        <v>570</v>
      </c>
      <c r="J29" s="18">
        <f>F29*G29</f>
        <v>570</v>
      </c>
      <c r="K29" s="18">
        <v>0</v>
      </c>
      <c r="L29" s="18">
        <f>F29*K29</f>
        <v>0</v>
      </c>
      <c r="M29" s="38" t="s">
        <v>644</v>
      </c>
      <c r="P29" s="43">
        <f>IF(AG29="5",J29,0)</f>
        <v>0</v>
      </c>
      <c r="R29" s="43">
        <f>IF(AG29="1",H29,0)</f>
        <v>0</v>
      </c>
      <c r="S29" s="43">
        <f>IF(AG29="1",I29,0)</f>
        <v>570</v>
      </c>
      <c r="T29" s="43">
        <f>IF(AG29="7",H29,0)</f>
        <v>0</v>
      </c>
      <c r="U29" s="43">
        <f>IF(AG29="7",I29,0)</f>
        <v>0</v>
      </c>
      <c r="V29" s="43">
        <f>IF(AG29="2",H29,0)</f>
        <v>0</v>
      </c>
      <c r="W29" s="43">
        <f>IF(AG29="2",I29,0)</f>
        <v>0</v>
      </c>
      <c r="X29" s="43">
        <f>IF(AG29="0",J29,0)</f>
        <v>0</v>
      </c>
      <c r="Y29" s="34" t="s">
        <v>193</v>
      </c>
      <c r="Z29" s="18">
        <f>IF(AD29=0,J29,0)</f>
        <v>0</v>
      </c>
      <c r="AA29" s="18">
        <f>IF(AD29=15,J29,0)</f>
        <v>0</v>
      </c>
      <c r="AB29" s="18">
        <f>IF(AD29=21,J29,0)</f>
        <v>570</v>
      </c>
      <c r="AD29" s="43">
        <v>21</v>
      </c>
      <c r="AE29" s="43">
        <f>G29*0</f>
        <v>0</v>
      </c>
      <c r="AF29" s="43">
        <f>G29*(1-0)</f>
        <v>7.6</v>
      </c>
      <c r="AG29" s="38" t="s">
        <v>7</v>
      </c>
      <c r="AM29" s="43">
        <f>F29*AE29</f>
        <v>0</v>
      </c>
      <c r="AN29" s="43">
        <f>F29*AF29</f>
        <v>570</v>
      </c>
      <c r="AO29" s="44" t="s">
        <v>657</v>
      </c>
      <c r="AP29" s="44" t="s">
        <v>680</v>
      </c>
      <c r="AQ29" s="34" t="s">
        <v>709</v>
      </c>
      <c r="AS29" s="43">
        <f>AM29+AN29</f>
        <v>570</v>
      </c>
      <c r="AT29" s="43">
        <f>G29/(100-AU29)*100</f>
        <v>7.6</v>
      </c>
      <c r="AU29" s="43">
        <v>0</v>
      </c>
      <c r="AV29" s="43">
        <f>L29</f>
        <v>0</v>
      </c>
    </row>
    <row r="30" spans="1:48">
      <c r="A30" s="4"/>
      <c r="B30" s="14" t="s">
        <v>193</v>
      </c>
      <c r="C30" s="14" t="s">
        <v>211</v>
      </c>
      <c r="D30" s="83" t="s">
        <v>362</v>
      </c>
      <c r="E30" s="4" t="s">
        <v>6</v>
      </c>
      <c r="F30" s="4" t="s">
        <v>6</v>
      </c>
      <c r="G30" s="24" t="s">
        <v>6</v>
      </c>
      <c r="H30" s="46">
        <f>SUM(H31:H31)</f>
        <v>0</v>
      </c>
      <c r="I30" s="46">
        <f>SUM(I31:I31)</f>
        <v>2662.5209999999997</v>
      </c>
      <c r="J30" s="46">
        <f>H30+I30</f>
        <v>2662.5209999999997</v>
      </c>
      <c r="K30" s="34"/>
      <c r="L30" s="46">
        <f>SUM(L31:L31)</f>
        <v>0</v>
      </c>
      <c r="M30" s="34"/>
      <c r="Y30" s="34" t="s">
        <v>193</v>
      </c>
      <c r="AI30" s="46">
        <f>SUM(Z31:Z31)</f>
        <v>0</v>
      </c>
      <c r="AJ30" s="46">
        <f>SUM(AA31:AA31)</f>
        <v>0</v>
      </c>
      <c r="AK30" s="46">
        <f>SUM(AB31:AB31)</f>
        <v>2662.5209999999997</v>
      </c>
    </row>
    <row r="31" spans="1:48">
      <c r="A31" s="5" t="s">
        <v>16</v>
      </c>
      <c r="B31" s="5" t="s">
        <v>193</v>
      </c>
      <c r="C31" s="5" t="s">
        <v>212</v>
      </c>
      <c r="D31" s="84" t="s">
        <v>363</v>
      </c>
      <c r="E31" s="5" t="s">
        <v>621</v>
      </c>
      <c r="F31" s="76">
        <v>7.6289999999999996</v>
      </c>
      <c r="G31" s="25">
        <v>349</v>
      </c>
      <c r="H31" s="18">
        <f>F31*AE31</f>
        <v>0</v>
      </c>
      <c r="I31" s="18">
        <f>J31-H31</f>
        <v>2662.5209999999997</v>
      </c>
      <c r="J31" s="18">
        <f>F31*G31</f>
        <v>2662.5209999999997</v>
      </c>
      <c r="K31" s="18">
        <v>0</v>
      </c>
      <c r="L31" s="18">
        <f>F31*K31</f>
        <v>0</v>
      </c>
      <c r="M31" s="38" t="s">
        <v>644</v>
      </c>
      <c r="P31" s="43">
        <f>IF(AG31="5",J31,0)</f>
        <v>2662.5209999999997</v>
      </c>
      <c r="R31" s="43">
        <f>IF(AG31="1",H31,0)</f>
        <v>0</v>
      </c>
      <c r="S31" s="43">
        <f>IF(AG31="1",I31,0)</f>
        <v>0</v>
      </c>
      <c r="T31" s="43">
        <f>IF(AG31="7",H31,0)</f>
        <v>0</v>
      </c>
      <c r="U31" s="43">
        <f>IF(AG31="7",I31,0)</f>
        <v>0</v>
      </c>
      <c r="V31" s="43">
        <f>IF(AG31="2",H31,0)</f>
        <v>0</v>
      </c>
      <c r="W31" s="43">
        <f>IF(AG31="2",I31,0)</f>
        <v>0</v>
      </c>
      <c r="X31" s="43">
        <f>IF(AG31="0",J31,0)</f>
        <v>0</v>
      </c>
      <c r="Y31" s="34" t="s">
        <v>193</v>
      </c>
      <c r="Z31" s="18">
        <f>IF(AD31=0,J31,0)</f>
        <v>0</v>
      </c>
      <c r="AA31" s="18">
        <f>IF(AD31=15,J31,0)</f>
        <v>0</v>
      </c>
      <c r="AB31" s="18">
        <f>IF(AD31=21,J31,0)</f>
        <v>2662.5209999999997</v>
      </c>
      <c r="AD31" s="43">
        <v>21</v>
      </c>
      <c r="AE31" s="43">
        <f>G31*0</f>
        <v>0</v>
      </c>
      <c r="AF31" s="43">
        <f>G31*(1-0)</f>
        <v>349</v>
      </c>
      <c r="AG31" s="38" t="s">
        <v>11</v>
      </c>
      <c r="AM31" s="43">
        <f>F31*AE31</f>
        <v>0</v>
      </c>
      <c r="AN31" s="43">
        <f>F31*AF31</f>
        <v>2662.5209999999997</v>
      </c>
      <c r="AO31" s="44" t="s">
        <v>658</v>
      </c>
      <c r="AP31" s="44" t="s">
        <v>680</v>
      </c>
      <c r="AQ31" s="34" t="s">
        <v>709</v>
      </c>
      <c r="AS31" s="43">
        <f>AM31+AN31</f>
        <v>2662.5209999999997</v>
      </c>
      <c r="AT31" s="43">
        <f>G31/(100-AU31)*100</f>
        <v>349</v>
      </c>
      <c r="AU31" s="43">
        <v>0</v>
      </c>
      <c r="AV31" s="43">
        <f>L31</f>
        <v>0</v>
      </c>
    </row>
    <row r="32" spans="1:48">
      <c r="D32" s="85" t="s">
        <v>364</v>
      </c>
      <c r="F32" s="77">
        <v>7.6289999999999996</v>
      </c>
      <c r="G32" s="26"/>
    </row>
    <row r="33" spans="1:48">
      <c r="A33" s="7"/>
      <c r="B33" s="15" t="s">
        <v>194</v>
      </c>
      <c r="C33" s="15"/>
      <c r="D33" s="87" t="s">
        <v>365</v>
      </c>
      <c r="E33" s="7" t="s">
        <v>6</v>
      </c>
      <c r="F33" s="7" t="s">
        <v>6</v>
      </c>
      <c r="G33" s="28" t="s">
        <v>6</v>
      </c>
      <c r="H33" s="47">
        <f>H34+H37+H42+H47</f>
        <v>29050.850283384756</v>
      </c>
      <c r="I33" s="47">
        <f>I34+I37+I42+I47</f>
        <v>69380.457916615254</v>
      </c>
      <c r="J33" s="47">
        <f>H33+I33</f>
        <v>98431.308200000014</v>
      </c>
      <c r="K33" s="35"/>
      <c r="L33" s="47">
        <f>L34+L37+L42+L47</f>
        <v>7.8109957999999997</v>
      </c>
      <c r="M33" s="35"/>
    </row>
    <row r="34" spans="1:48">
      <c r="A34" s="4"/>
      <c r="B34" s="14" t="s">
        <v>194</v>
      </c>
      <c r="C34" s="14" t="s">
        <v>66</v>
      </c>
      <c r="D34" s="83" t="s">
        <v>366</v>
      </c>
      <c r="E34" s="4" t="s">
        <v>6</v>
      </c>
      <c r="F34" s="4" t="s">
        <v>6</v>
      </c>
      <c r="G34" s="24" t="s">
        <v>6</v>
      </c>
      <c r="H34" s="46">
        <f>SUM(H35:H36)</f>
        <v>28361.337965430019</v>
      </c>
      <c r="I34" s="46">
        <f>SUM(I35:I36)</f>
        <v>36193.512034569983</v>
      </c>
      <c r="J34" s="46">
        <f>H34+I34</f>
        <v>64554.850000000006</v>
      </c>
      <c r="K34" s="34"/>
      <c r="L34" s="46">
        <f>SUM(L35:L36)</f>
        <v>2.1925344</v>
      </c>
      <c r="M34" s="34"/>
      <c r="Y34" s="34" t="s">
        <v>194</v>
      </c>
      <c r="AI34" s="46">
        <f>SUM(Z35:Z36)</f>
        <v>0</v>
      </c>
      <c r="AJ34" s="46">
        <f>SUM(AA35:AA36)</f>
        <v>0</v>
      </c>
      <c r="AK34" s="46">
        <f>SUM(AB35:AB36)</f>
        <v>64554.85</v>
      </c>
    </row>
    <row r="35" spans="1:48">
      <c r="A35" s="5" t="s">
        <v>17</v>
      </c>
      <c r="B35" s="5" t="s">
        <v>194</v>
      </c>
      <c r="C35" s="5" t="s">
        <v>213</v>
      </c>
      <c r="D35" s="84" t="s">
        <v>367</v>
      </c>
      <c r="E35" s="5" t="s">
        <v>620</v>
      </c>
      <c r="F35" s="76">
        <v>93.22</v>
      </c>
      <c r="G35" s="25">
        <v>580</v>
      </c>
      <c r="H35" s="18">
        <f>F35*AE35</f>
        <v>26797.818177150195</v>
      </c>
      <c r="I35" s="18">
        <f>J35-H35</f>
        <v>27269.781822849804</v>
      </c>
      <c r="J35" s="18">
        <f>F35*G35</f>
        <v>54067.6</v>
      </c>
      <c r="K35" s="18">
        <v>2.1000000000000001E-2</v>
      </c>
      <c r="L35" s="18">
        <f>F35*K35</f>
        <v>1.9576200000000001</v>
      </c>
      <c r="M35" s="38" t="s">
        <v>643</v>
      </c>
      <c r="P35" s="43">
        <f>IF(AG35="5",J35,0)</f>
        <v>0</v>
      </c>
      <c r="R35" s="43">
        <f>IF(AG35="1",H35,0)</f>
        <v>26797.818177150195</v>
      </c>
      <c r="S35" s="43">
        <f>IF(AG35="1",I35,0)</f>
        <v>27269.781822849804</v>
      </c>
      <c r="T35" s="43">
        <f>IF(AG35="7",H35,0)</f>
        <v>0</v>
      </c>
      <c r="U35" s="43">
        <f>IF(AG35="7",I35,0)</f>
        <v>0</v>
      </c>
      <c r="V35" s="43">
        <f>IF(AG35="2",H35,0)</f>
        <v>0</v>
      </c>
      <c r="W35" s="43">
        <f>IF(AG35="2",I35,0)</f>
        <v>0</v>
      </c>
      <c r="X35" s="43">
        <f>IF(AG35="0",J35,0)</f>
        <v>0</v>
      </c>
      <c r="Y35" s="34" t="s">
        <v>194</v>
      </c>
      <c r="Z35" s="18">
        <f>IF(AD35=0,J35,0)</f>
        <v>0</v>
      </c>
      <c r="AA35" s="18">
        <f>IF(AD35=15,J35,0)</f>
        <v>0</v>
      </c>
      <c r="AB35" s="18">
        <f>IF(AD35=21,J35,0)</f>
        <v>54067.6</v>
      </c>
      <c r="AD35" s="43">
        <v>21</v>
      </c>
      <c r="AE35" s="43">
        <f>G35*0.495635430038511</f>
        <v>287.46854942233637</v>
      </c>
      <c r="AF35" s="43">
        <f>G35*(1-0.495635430038511)</f>
        <v>292.53145057766358</v>
      </c>
      <c r="AG35" s="38" t="s">
        <v>7</v>
      </c>
      <c r="AM35" s="43">
        <f>F35*AE35</f>
        <v>26797.818177150195</v>
      </c>
      <c r="AN35" s="43">
        <f>F35*AF35</f>
        <v>27269.7818228498</v>
      </c>
      <c r="AO35" s="44" t="s">
        <v>659</v>
      </c>
      <c r="AP35" s="44" t="s">
        <v>681</v>
      </c>
      <c r="AQ35" s="34" t="s">
        <v>710</v>
      </c>
      <c r="AS35" s="43">
        <f>AM35+AN35</f>
        <v>54067.599999999991</v>
      </c>
      <c r="AT35" s="43">
        <f>G35/(100-AU35)*100</f>
        <v>580</v>
      </c>
      <c r="AU35" s="43">
        <v>0</v>
      </c>
      <c r="AV35" s="43">
        <f>L35</f>
        <v>1.9576200000000001</v>
      </c>
    </row>
    <row r="36" spans="1:48">
      <c r="A36" s="5" t="s">
        <v>18</v>
      </c>
      <c r="B36" s="5" t="s">
        <v>194</v>
      </c>
      <c r="C36" s="5" t="s">
        <v>214</v>
      </c>
      <c r="D36" s="84" t="s">
        <v>368</v>
      </c>
      <c r="E36" s="5" t="s">
        <v>620</v>
      </c>
      <c r="F36" s="76">
        <v>93.22</v>
      </c>
      <c r="G36" s="25">
        <v>112.5</v>
      </c>
      <c r="H36" s="18">
        <f>F36*AE36</f>
        <v>1563.5197882798227</v>
      </c>
      <c r="I36" s="18">
        <f>J36-H36</f>
        <v>8923.730211720178</v>
      </c>
      <c r="J36" s="18">
        <f>F36*G36</f>
        <v>10487.25</v>
      </c>
      <c r="K36" s="18">
        <v>2.5200000000000001E-3</v>
      </c>
      <c r="L36" s="18">
        <f>F36*K36</f>
        <v>0.2349144</v>
      </c>
      <c r="M36" s="38" t="s">
        <v>643</v>
      </c>
      <c r="P36" s="43">
        <f>IF(AG36="5",J36,0)</f>
        <v>0</v>
      </c>
      <c r="R36" s="43">
        <f>IF(AG36="1",H36,0)</f>
        <v>1563.5197882798227</v>
      </c>
      <c r="S36" s="43">
        <f>IF(AG36="1",I36,0)</f>
        <v>8923.730211720178</v>
      </c>
      <c r="T36" s="43">
        <f>IF(AG36="7",H36,0)</f>
        <v>0</v>
      </c>
      <c r="U36" s="43">
        <f>IF(AG36="7",I36,0)</f>
        <v>0</v>
      </c>
      <c r="V36" s="43">
        <f>IF(AG36="2",H36,0)</f>
        <v>0</v>
      </c>
      <c r="W36" s="43">
        <f>IF(AG36="2",I36,0)</f>
        <v>0</v>
      </c>
      <c r="X36" s="43">
        <f>IF(AG36="0",J36,0)</f>
        <v>0</v>
      </c>
      <c r="Y36" s="34" t="s">
        <v>194</v>
      </c>
      <c r="Z36" s="18">
        <f>IF(AD36=0,J36,0)</f>
        <v>0</v>
      </c>
      <c r="AA36" s="18">
        <f>IF(AD36=15,J36,0)</f>
        <v>0</v>
      </c>
      <c r="AB36" s="18">
        <f>IF(AD36=21,J36,0)</f>
        <v>10487.25</v>
      </c>
      <c r="AD36" s="43">
        <v>21</v>
      </c>
      <c r="AE36" s="43">
        <f>G36*0.149087681544716</f>
        <v>16.772364173780549</v>
      </c>
      <c r="AF36" s="43">
        <f>G36*(1-0.149087681544716)</f>
        <v>95.727635826219455</v>
      </c>
      <c r="AG36" s="38" t="s">
        <v>7</v>
      </c>
      <c r="AM36" s="43">
        <f>F36*AE36</f>
        <v>1563.5197882798227</v>
      </c>
      <c r="AN36" s="43">
        <f>F36*AF36</f>
        <v>8923.730211720178</v>
      </c>
      <c r="AO36" s="44" t="s">
        <v>659</v>
      </c>
      <c r="AP36" s="44" t="s">
        <v>681</v>
      </c>
      <c r="AQ36" s="34" t="s">
        <v>710</v>
      </c>
      <c r="AS36" s="43">
        <f>AM36+AN36</f>
        <v>10487.25</v>
      </c>
      <c r="AT36" s="43">
        <f>G36/(100-AU36)*100</f>
        <v>112.5</v>
      </c>
      <c r="AU36" s="43">
        <v>0</v>
      </c>
      <c r="AV36" s="43">
        <f>L36</f>
        <v>0.2349144</v>
      </c>
    </row>
    <row r="37" spans="1:48">
      <c r="A37" s="4"/>
      <c r="B37" s="14" t="s">
        <v>194</v>
      </c>
      <c r="C37" s="14" t="s">
        <v>215</v>
      </c>
      <c r="D37" s="83" t="s">
        <v>369</v>
      </c>
      <c r="E37" s="4" t="s">
        <v>6</v>
      </c>
      <c r="F37" s="4" t="s">
        <v>6</v>
      </c>
      <c r="G37" s="24" t="s">
        <v>6</v>
      </c>
      <c r="H37" s="46">
        <f>SUM(H38:H40)</f>
        <v>672.78362419873997</v>
      </c>
      <c r="I37" s="46">
        <f>SUM(I38:I40)</f>
        <v>5675.4983758012604</v>
      </c>
      <c r="J37" s="46">
        <f>H37+I37</f>
        <v>6348.2820000000002</v>
      </c>
      <c r="K37" s="34"/>
      <c r="L37" s="46">
        <f>SUM(L38:L40)</f>
        <v>2.5169400000000001E-2</v>
      </c>
      <c r="M37" s="34"/>
      <c r="Y37" s="34" t="s">
        <v>194</v>
      </c>
      <c r="AI37" s="46">
        <f>SUM(Z38:Z40)</f>
        <v>0</v>
      </c>
      <c r="AJ37" s="46">
        <f>SUM(AA38:AA40)</f>
        <v>0</v>
      </c>
      <c r="AK37" s="46">
        <f>SUM(AB38:AB40)</f>
        <v>6348.2820000000002</v>
      </c>
    </row>
    <row r="38" spans="1:48">
      <c r="A38" s="5" t="s">
        <v>19</v>
      </c>
      <c r="B38" s="5" t="s">
        <v>194</v>
      </c>
      <c r="C38" s="5" t="s">
        <v>216</v>
      </c>
      <c r="D38" s="84" t="s">
        <v>370</v>
      </c>
      <c r="E38" s="5" t="s">
        <v>620</v>
      </c>
      <c r="F38" s="76">
        <v>93.22</v>
      </c>
      <c r="G38" s="25">
        <v>17</v>
      </c>
      <c r="H38" s="18">
        <f>F38*AE38</f>
        <v>253.75831084949161</v>
      </c>
      <c r="I38" s="18">
        <f>J38-H38</f>
        <v>1330.9816891505084</v>
      </c>
      <c r="J38" s="18">
        <f>F38*G38</f>
        <v>1584.74</v>
      </c>
      <c r="K38" s="18">
        <v>5.0000000000000002E-5</v>
      </c>
      <c r="L38" s="18">
        <f>F38*K38</f>
        <v>4.6610000000000002E-3</v>
      </c>
      <c r="M38" s="38" t="s">
        <v>643</v>
      </c>
      <c r="P38" s="43">
        <f>IF(AG38="5",J38,0)</f>
        <v>0</v>
      </c>
      <c r="R38" s="43">
        <f>IF(AG38="1",H38,0)</f>
        <v>0</v>
      </c>
      <c r="S38" s="43">
        <f>IF(AG38="1",I38,0)</f>
        <v>0</v>
      </c>
      <c r="T38" s="43">
        <f>IF(AG38="7",H38,0)</f>
        <v>253.75831084949161</v>
      </c>
      <c r="U38" s="43">
        <f>IF(AG38="7",I38,0)</f>
        <v>1330.9816891505084</v>
      </c>
      <c r="V38" s="43">
        <f>IF(AG38="2",H38,0)</f>
        <v>0</v>
      </c>
      <c r="W38" s="43">
        <f>IF(AG38="2",I38,0)</f>
        <v>0</v>
      </c>
      <c r="X38" s="43">
        <f>IF(AG38="0",J38,0)</f>
        <v>0</v>
      </c>
      <c r="Y38" s="34" t="s">
        <v>194</v>
      </c>
      <c r="Z38" s="18">
        <f>IF(AD38=0,J38,0)</f>
        <v>0</v>
      </c>
      <c r="AA38" s="18">
        <f>IF(AD38=15,J38,0)</f>
        <v>0</v>
      </c>
      <c r="AB38" s="18">
        <f>IF(AD38=21,J38,0)</f>
        <v>1584.74</v>
      </c>
      <c r="AD38" s="43">
        <v>21</v>
      </c>
      <c r="AE38" s="43">
        <f>G38*0.160126147411873</f>
        <v>2.722144506001841</v>
      </c>
      <c r="AF38" s="43">
        <f>G38*(1-0.160126147411873)</f>
        <v>14.277855493998159</v>
      </c>
      <c r="AG38" s="38" t="s">
        <v>13</v>
      </c>
      <c r="AM38" s="43">
        <f>F38*AE38</f>
        <v>253.75831084949161</v>
      </c>
      <c r="AN38" s="43">
        <f>F38*AF38</f>
        <v>1330.9816891505084</v>
      </c>
      <c r="AO38" s="44" t="s">
        <v>660</v>
      </c>
      <c r="AP38" s="44" t="s">
        <v>682</v>
      </c>
      <c r="AQ38" s="34" t="s">
        <v>710</v>
      </c>
      <c r="AS38" s="43">
        <f>AM38+AN38</f>
        <v>1584.74</v>
      </c>
      <c r="AT38" s="43">
        <f>G38/(100-AU38)*100</f>
        <v>17</v>
      </c>
      <c r="AU38" s="43">
        <v>0</v>
      </c>
      <c r="AV38" s="43">
        <f>L38</f>
        <v>4.6610000000000002E-3</v>
      </c>
    </row>
    <row r="39" spans="1:48">
      <c r="D39" s="85" t="s">
        <v>371</v>
      </c>
      <c r="F39" s="77">
        <v>93.22</v>
      </c>
      <c r="G39" s="26"/>
    </row>
    <row r="40" spans="1:48">
      <c r="A40" s="5" t="s">
        <v>20</v>
      </c>
      <c r="B40" s="5" t="s">
        <v>194</v>
      </c>
      <c r="C40" s="5" t="s">
        <v>217</v>
      </c>
      <c r="D40" s="84" t="s">
        <v>372</v>
      </c>
      <c r="E40" s="5" t="s">
        <v>620</v>
      </c>
      <c r="F40" s="76">
        <v>93.22</v>
      </c>
      <c r="G40" s="25">
        <v>51.1</v>
      </c>
      <c r="H40" s="18">
        <f>F40*AE40</f>
        <v>419.02531334924834</v>
      </c>
      <c r="I40" s="18">
        <f>J40-H40</f>
        <v>4344.5166866507516</v>
      </c>
      <c r="J40" s="18">
        <f>F40*G40</f>
        <v>4763.5420000000004</v>
      </c>
      <c r="K40" s="18">
        <v>2.2000000000000001E-4</v>
      </c>
      <c r="L40" s="18">
        <f>F40*K40</f>
        <v>2.05084E-2</v>
      </c>
      <c r="M40" s="38" t="s">
        <v>643</v>
      </c>
      <c r="P40" s="43">
        <f>IF(AG40="5",J40,0)</f>
        <v>0</v>
      </c>
      <c r="R40" s="43">
        <f>IF(AG40="1",H40,0)</f>
        <v>0</v>
      </c>
      <c r="S40" s="43">
        <f>IF(AG40="1",I40,0)</f>
        <v>0</v>
      </c>
      <c r="T40" s="43">
        <f>IF(AG40="7",H40,0)</f>
        <v>419.02531334924834</v>
      </c>
      <c r="U40" s="43">
        <f>IF(AG40="7",I40,0)</f>
        <v>4344.5166866507516</v>
      </c>
      <c r="V40" s="43">
        <f>IF(AG40="2",H40,0)</f>
        <v>0</v>
      </c>
      <c r="W40" s="43">
        <f>IF(AG40="2",I40,0)</f>
        <v>0</v>
      </c>
      <c r="X40" s="43">
        <f>IF(AG40="0",J40,0)</f>
        <v>0</v>
      </c>
      <c r="Y40" s="34" t="s">
        <v>194</v>
      </c>
      <c r="Z40" s="18">
        <f>IF(AD40=0,J40,0)</f>
        <v>0</v>
      </c>
      <c r="AA40" s="18">
        <f>IF(AD40=15,J40,0)</f>
        <v>0</v>
      </c>
      <c r="AB40" s="18">
        <f>IF(AD40=21,J40,0)</f>
        <v>4763.5420000000004</v>
      </c>
      <c r="AD40" s="43">
        <v>21</v>
      </c>
      <c r="AE40" s="43">
        <f>G40*0.0879650716524066</f>
        <v>4.4950151614379781</v>
      </c>
      <c r="AF40" s="43">
        <f>G40*(1-0.0879650716524066)</f>
        <v>46.604984838562025</v>
      </c>
      <c r="AG40" s="38" t="s">
        <v>13</v>
      </c>
      <c r="AM40" s="43">
        <f>F40*AE40</f>
        <v>419.02531334924834</v>
      </c>
      <c r="AN40" s="43">
        <f>F40*AF40</f>
        <v>4344.5166866507516</v>
      </c>
      <c r="AO40" s="44" t="s">
        <v>660</v>
      </c>
      <c r="AP40" s="44" t="s">
        <v>682</v>
      </c>
      <c r="AQ40" s="34" t="s">
        <v>710</v>
      </c>
      <c r="AS40" s="43">
        <f>AM40+AN40</f>
        <v>4763.5419999999995</v>
      </c>
      <c r="AT40" s="43">
        <f>G40/(100-AU40)*100</f>
        <v>51.1</v>
      </c>
      <c r="AU40" s="43">
        <v>0</v>
      </c>
      <c r="AV40" s="43">
        <f>L40</f>
        <v>2.05084E-2</v>
      </c>
    </row>
    <row r="41" spans="1:48">
      <c r="D41" s="85" t="s">
        <v>371</v>
      </c>
      <c r="F41" s="77">
        <v>93.22</v>
      </c>
      <c r="G41" s="26"/>
    </row>
    <row r="42" spans="1:48">
      <c r="A42" s="4"/>
      <c r="B42" s="14" t="s">
        <v>194</v>
      </c>
      <c r="C42" s="14" t="s">
        <v>103</v>
      </c>
      <c r="D42" s="83" t="s">
        <v>373</v>
      </c>
      <c r="E42" s="4" t="s">
        <v>6</v>
      </c>
      <c r="F42" s="4" t="s">
        <v>6</v>
      </c>
      <c r="G42" s="24" t="s">
        <v>6</v>
      </c>
      <c r="H42" s="46">
        <f>SUM(H43:H46)</f>
        <v>0</v>
      </c>
      <c r="I42" s="46">
        <f>SUM(I43:I46)</f>
        <v>18476.465</v>
      </c>
      <c r="J42" s="46">
        <f>H42+I42</f>
        <v>18476.465</v>
      </c>
      <c r="K42" s="34"/>
      <c r="L42" s="46">
        <f>SUM(L43:L46)</f>
        <v>5.5932919999999999</v>
      </c>
      <c r="M42" s="34"/>
      <c r="Y42" s="34" t="s">
        <v>194</v>
      </c>
      <c r="AI42" s="46">
        <f>SUM(Z43:Z46)</f>
        <v>0</v>
      </c>
      <c r="AJ42" s="46">
        <f>SUM(AA43:AA46)</f>
        <v>0</v>
      </c>
      <c r="AK42" s="46">
        <f>SUM(AB43:AB46)</f>
        <v>18476.465</v>
      </c>
    </row>
    <row r="43" spans="1:48">
      <c r="A43" s="5" t="s">
        <v>21</v>
      </c>
      <c r="B43" s="5" t="s">
        <v>194</v>
      </c>
      <c r="C43" s="5" t="s">
        <v>218</v>
      </c>
      <c r="D43" s="84" t="s">
        <v>374</v>
      </c>
      <c r="E43" s="5" t="s">
        <v>620</v>
      </c>
      <c r="F43" s="76">
        <v>93.221999999999994</v>
      </c>
      <c r="G43" s="25">
        <v>130.5</v>
      </c>
      <c r="H43" s="18">
        <f>F43*AE43</f>
        <v>0</v>
      </c>
      <c r="I43" s="18">
        <f>J43-H43</f>
        <v>12165.471</v>
      </c>
      <c r="J43" s="18">
        <f>F43*G43</f>
        <v>12165.471</v>
      </c>
      <c r="K43" s="18">
        <v>4.5999999999999999E-2</v>
      </c>
      <c r="L43" s="18">
        <f>F43*K43</f>
        <v>4.2882119999999997</v>
      </c>
      <c r="M43" s="38" t="s">
        <v>643</v>
      </c>
      <c r="P43" s="43">
        <f>IF(AG43="5",J43,0)</f>
        <v>0</v>
      </c>
      <c r="R43" s="43">
        <f>IF(AG43="1",H43,0)</f>
        <v>0</v>
      </c>
      <c r="S43" s="43">
        <f>IF(AG43="1",I43,0)</f>
        <v>12165.471</v>
      </c>
      <c r="T43" s="43">
        <f>IF(AG43="7",H43,0)</f>
        <v>0</v>
      </c>
      <c r="U43" s="43">
        <f>IF(AG43="7",I43,0)</f>
        <v>0</v>
      </c>
      <c r="V43" s="43">
        <f>IF(AG43="2",H43,0)</f>
        <v>0</v>
      </c>
      <c r="W43" s="43">
        <f>IF(AG43="2",I43,0)</f>
        <v>0</v>
      </c>
      <c r="X43" s="43">
        <f>IF(AG43="0",J43,0)</f>
        <v>0</v>
      </c>
      <c r="Y43" s="34" t="s">
        <v>194</v>
      </c>
      <c r="Z43" s="18">
        <f>IF(AD43=0,J43,0)</f>
        <v>0</v>
      </c>
      <c r="AA43" s="18">
        <f>IF(AD43=15,J43,0)</f>
        <v>0</v>
      </c>
      <c r="AB43" s="18">
        <f>IF(AD43=21,J43,0)</f>
        <v>12165.471</v>
      </c>
      <c r="AD43" s="43">
        <v>21</v>
      </c>
      <c r="AE43" s="43">
        <f>G43*0</f>
        <v>0</v>
      </c>
      <c r="AF43" s="43">
        <f>G43*(1-0)</f>
        <v>130.5</v>
      </c>
      <c r="AG43" s="38" t="s">
        <v>7</v>
      </c>
      <c r="AM43" s="43">
        <f>F43*AE43</f>
        <v>0</v>
      </c>
      <c r="AN43" s="43">
        <f>F43*AF43</f>
        <v>12165.471</v>
      </c>
      <c r="AO43" s="44" t="s">
        <v>661</v>
      </c>
      <c r="AP43" s="44" t="s">
        <v>683</v>
      </c>
      <c r="AQ43" s="34" t="s">
        <v>710</v>
      </c>
      <c r="AS43" s="43">
        <f>AM43+AN43</f>
        <v>12165.471</v>
      </c>
      <c r="AT43" s="43">
        <f>G43/(100-AU43)*100</f>
        <v>130.5</v>
      </c>
      <c r="AU43" s="43">
        <v>0</v>
      </c>
      <c r="AV43" s="43">
        <f>L43</f>
        <v>4.2882119999999997</v>
      </c>
    </row>
    <row r="44" spans="1:48">
      <c r="D44" s="85" t="s">
        <v>375</v>
      </c>
      <c r="F44" s="77">
        <v>102.672</v>
      </c>
      <c r="G44" s="26"/>
    </row>
    <row r="45" spans="1:48">
      <c r="D45" s="85" t="s">
        <v>376</v>
      </c>
      <c r="F45" s="77">
        <v>-9.4499999999999993</v>
      </c>
      <c r="G45" s="26"/>
    </row>
    <row r="46" spans="1:48">
      <c r="A46" s="5" t="s">
        <v>22</v>
      </c>
      <c r="B46" s="5" t="s">
        <v>194</v>
      </c>
      <c r="C46" s="5" t="s">
        <v>219</v>
      </c>
      <c r="D46" s="84" t="s">
        <v>377</v>
      </c>
      <c r="E46" s="5" t="s">
        <v>620</v>
      </c>
      <c r="F46" s="76">
        <v>93.22</v>
      </c>
      <c r="G46" s="25">
        <v>67.7</v>
      </c>
      <c r="H46" s="18">
        <f>F46*AE46</f>
        <v>0</v>
      </c>
      <c r="I46" s="18">
        <f>J46-H46</f>
        <v>6310.9940000000006</v>
      </c>
      <c r="J46" s="18">
        <f>F46*G46</f>
        <v>6310.9940000000006</v>
      </c>
      <c r="K46" s="18">
        <v>1.4E-2</v>
      </c>
      <c r="L46" s="18">
        <f>F46*K46</f>
        <v>1.30508</v>
      </c>
      <c r="M46" s="38" t="s">
        <v>643</v>
      </c>
      <c r="P46" s="43">
        <f>IF(AG46="5",J46,0)</f>
        <v>0</v>
      </c>
      <c r="R46" s="43">
        <f>IF(AG46="1",H46,0)</f>
        <v>0</v>
      </c>
      <c r="S46" s="43">
        <f>IF(AG46="1",I46,0)</f>
        <v>6310.9940000000006</v>
      </c>
      <c r="T46" s="43">
        <f>IF(AG46="7",H46,0)</f>
        <v>0</v>
      </c>
      <c r="U46" s="43">
        <f>IF(AG46="7",I46,0)</f>
        <v>0</v>
      </c>
      <c r="V46" s="43">
        <f>IF(AG46="2",H46,0)</f>
        <v>0</v>
      </c>
      <c r="W46" s="43">
        <f>IF(AG46="2",I46,0)</f>
        <v>0</v>
      </c>
      <c r="X46" s="43">
        <f>IF(AG46="0",J46,0)</f>
        <v>0</v>
      </c>
      <c r="Y46" s="34" t="s">
        <v>194</v>
      </c>
      <c r="Z46" s="18">
        <f>IF(AD46=0,J46,0)</f>
        <v>0</v>
      </c>
      <c r="AA46" s="18">
        <f>IF(AD46=15,J46,0)</f>
        <v>0</v>
      </c>
      <c r="AB46" s="18">
        <f>IF(AD46=21,J46,0)</f>
        <v>6310.9940000000006</v>
      </c>
      <c r="AD46" s="43">
        <v>21</v>
      </c>
      <c r="AE46" s="43">
        <f>G46*0</f>
        <v>0</v>
      </c>
      <c r="AF46" s="43">
        <f>G46*(1-0)</f>
        <v>67.7</v>
      </c>
      <c r="AG46" s="38" t="s">
        <v>7</v>
      </c>
      <c r="AM46" s="43">
        <f>F46*AE46</f>
        <v>0</v>
      </c>
      <c r="AN46" s="43">
        <f>F46*AF46</f>
        <v>6310.9940000000006</v>
      </c>
      <c r="AO46" s="44" t="s">
        <v>661</v>
      </c>
      <c r="AP46" s="44" t="s">
        <v>683</v>
      </c>
      <c r="AQ46" s="34" t="s">
        <v>710</v>
      </c>
      <c r="AS46" s="43">
        <f>AM46+AN46</f>
        <v>6310.9940000000006</v>
      </c>
      <c r="AT46" s="43">
        <f>G46/(100-AU46)*100</f>
        <v>67.7</v>
      </c>
      <c r="AU46" s="43">
        <v>0</v>
      </c>
      <c r="AV46" s="43">
        <f>L46</f>
        <v>1.30508</v>
      </c>
    </row>
    <row r="47" spans="1:48">
      <c r="A47" s="4"/>
      <c r="B47" s="14" t="s">
        <v>194</v>
      </c>
      <c r="C47" s="14" t="s">
        <v>220</v>
      </c>
      <c r="D47" s="83" t="s">
        <v>378</v>
      </c>
      <c r="E47" s="4" t="s">
        <v>6</v>
      </c>
      <c r="F47" s="4" t="s">
        <v>6</v>
      </c>
      <c r="G47" s="24" t="s">
        <v>6</v>
      </c>
      <c r="H47" s="46">
        <f>SUM(H48:H56)</f>
        <v>16.728693755999057</v>
      </c>
      <c r="I47" s="46">
        <f>SUM(I48:I56)</f>
        <v>9034.9825062440013</v>
      </c>
      <c r="J47" s="46">
        <f>H47+I47</f>
        <v>9051.7111999999997</v>
      </c>
      <c r="K47" s="34"/>
      <c r="L47" s="46">
        <f>SUM(L48:L56)</f>
        <v>0</v>
      </c>
      <c r="M47" s="34"/>
      <c r="Y47" s="34" t="s">
        <v>194</v>
      </c>
      <c r="AI47" s="46">
        <f>SUM(Z48:Z56)</f>
        <v>0</v>
      </c>
      <c r="AJ47" s="46">
        <f>SUM(AA48:AA56)</f>
        <v>0</v>
      </c>
      <c r="AK47" s="46">
        <f>SUM(AB48:AB56)</f>
        <v>9051.7111999999997</v>
      </c>
    </row>
    <row r="48" spans="1:48">
      <c r="A48" s="5" t="s">
        <v>23</v>
      </c>
      <c r="B48" s="5" t="s">
        <v>194</v>
      </c>
      <c r="C48" s="5" t="s">
        <v>221</v>
      </c>
      <c r="D48" s="84" t="s">
        <v>379</v>
      </c>
      <c r="E48" s="5" t="s">
        <v>621</v>
      </c>
      <c r="F48" s="76">
        <v>5.593</v>
      </c>
      <c r="G48" s="25">
        <v>265.5</v>
      </c>
      <c r="H48" s="18">
        <f>F48*AE48</f>
        <v>0</v>
      </c>
      <c r="I48" s="18">
        <f>J48-H48</f>
        <v>1484.9414999999999</v>
      </c>
      <c r="J48" s="18">
        <f>F48*G48</f>
        <v>1484.9414999999999</v>
      </c>
      <c r="K48" s="18">
        <v>0</v>
      </c>
      <c r="L48" s="18">
        <f>F48*K48</f>
        <v>0</v>
      </c>
      <c r="M48" s="38" t="s">
        <v>643</v>
      </c>
      <c r="P48" s="43">
        <f>IF(AG48="5",J48,0)</f>
        <v>1484.9414999999999</v>
      </c>
      <c r="R48" s="43">
        <f>IF(AG48="1",H48,0)</f>
        <v>0</v>
      </c>
      <c r="S48" s="43">
        <f>IF(AG48="1",I48,0)</f>
        <v>0</v>
      </c>
      <c r="T48" s="43">
        <f>IF(AG48="7",H48,0)</f>
        <v>0</v>
      </c>
      <c r="U48" s="43">
        <f>IF(AG48="7",I48,0)</f>
        <v>0</v>
      </c>
      <c r="V48" s="43">
        <f>IF(AG48="2",H48,0)</f>
        <v>0</v>
      </c>
      <c r="W48" s="43">
        <f>IF(AG48="2",I48,0)</f>
        <v>0</v>
      </c>
      <c r="X48" s="43">
        <f>IF(AG48="0",J48,0)</f>
        <v>0</v>
      </c>
      <c r="Y48" s="34" t="s">
        <v>194</v>
      </c>
      <c r="Z48" s="18">
        <f>IF(AD48=0,J48,0)</f>
        <v>0</v>
      </c>
      <c r="AA48" s="18">
        <f>IF(AD48=15,J48,0)</f>
        <v>0</v>
      </c>
      <c r="AB48" s="18">
        <f>IF(AD48=21,J48,0)</f>
        <v>1484.9414999999999</v>
      </c>
      <c r="AD48" s="43">
        <v>21</v>
      </c>
      <c r="AE48" s="43">
        <f>G48*0</f>
        <v>0</v>
      </c>
      <c r="AF48" s="43">
        <f>G48*(1-0)</f>
        <v>265.5</v>
      </c>
      <c r="AG48" s="38" t="s">
        <v>11</v>
      </c>
      <c r="AM48" s="43">
        <f>F48*AE48</f>
        <v>0</v>
      </c>
      <c r="AN48" s="43">
        <f>F48*AF48</f>
        <v>1484.9414999999999</v>
      </c>
      <c r="AO48" s="44" t="s">
        <v>662</v>
      </c>
      <c r="AP48" s="44" t="s">
        <v>683</v>
      </c>
      <c r="AQ48" s="34" t="s">
        <v>710</v>
      </c>
      <c r="AS48" s="43">
        <f>AM48+AN48</f>
        <v>1484.9414999999999</v>
      </c>
      <c r="AT48" s="43">
        <f>G48/(100-AU48)*100</f>
        <v>265.5</v>
      </c>
      <c r="AU48" s="43">
        <v>0</v>
      </c>
      <c r="AV48" s="43">
        <f>L48</f>
        <v>0</v>
      </c>
    </row>
    <row r="49" spans="1:48">
      <c r="D49" s="85" t="s">
        <v>380</v>
      </c>
      <c r="F49" s="77">
        <v>5.593</v>
      </c>
      <c r="G49" s="26"/>
    </row>
    <row r="50" spans="1:48">
      <c r="A50" s="5" t="s">
        <v>24</v>
      </c>
      <c r="B50" s="5" t="s">
        <v>194</v>
      </c>
      <c r="C50" s="5" t="s">
        <v>222</v>
      </c>
      <c r="D50" s="84" t="s">
        <v>381</v>
      </c>
      <c r="E50" s="5" t="s">
        <v>621</v>
      </c>
      <c r="F50" s="76">
        <v>27.965</v>
      </c>
      <c r="G50" s="25">
        <v>127</v>
      </c>
      <c r="H50" s="18">
        <f>F50*AE50</f>
        <v>0</v>
      </c>
      <c r="I50" s="18">
        <f>J50-H50</f>
        <v>3551.5549999999998</v>
      </c>
      <c r="J50" s="18">
        <f>F50*G50</f>
        <v>3551.5549999999998</v>
      </c>
      <c r="K50" s="18">
        <v>0</v>
      </c>
      <c r="L50" s="18">
        <f>F50*K50</f>
        <v>0</v>
      </c>
      <c r="M50" s="38" t="s">
        <v>643</v>
      </c>
      <c r="P50" s="43">
        <f>IF(AG50="5",J50,0)</f>
        <v>3551.5549999999998</v>
      </c>
      <c r="R50" s="43">
        <f>IF(AG50="1",H50,0)</f>
        <v>0</v>
      </c>
      <c r="S50" s="43">
        <f>IF(AG50="1",I50,0)</f>
        <v>0</v>
      </c>
      <c r="T50" s="43">
        <f>IF(AG50="7",H50,0)</f>
        <v>0</v>
      </c>
      <c r="U50" s="43">
        <f>IF(AG50="7",I50,0)</f>
        <v>0</v>
      </c>
      <c r="V50" s="43">
        <f>IF(AG50="2",H50,0)</f>
        <v>0</v>
      </c>
      <c r="W50" s="43">
        <f>IF(AG50="2",I50,0)</f>
        <v>0</v>
      </c>
      <c r="X50" s="43">
        <f>IF(AG50="0",J50,0)</f>
        <v>0</v>
      </c>
      <c r="Y50" s="34" t="s">
        <v>194</v>
      </c>
      <c r="Z50" s="18">
        <f>IF(AD50=0,J50,0)</f>
        <v>0</v>
      </c>
      <c r="AA50" s="18">
        <f>IF(AD50=15,J50,0)</f>
        <v>0</v>
      </c>
      <c r="AB50" s="18">
        <f>IF(AD50=21,J50,0)</f>
        <v>3551.5549999999998</v>
      </c>
      <c r="AD50" s="43">
        <v>21</v>
      </c>
      <c r="AE50" s="43">
        <f>G50*0</f>
        <v>0</v>
      </c>
      <c r="AF50" s="43">
        <f>G50*(1-0)</f>
        <v>127</v>
      </c>
      <c r="AG50" s="38" t="s">
        <v>11</v>
      </c>
      <c r="AM50" s="43">
        <f>F50*AE50</f>
        <v>0</v>
      </c>
      <c r="AN50" s="43">
        <f>F50*AF50</f>
        <v>3551.5549999999998</v>
      </c>
      <c r="AO50" s="44" t="s">
        <v>662</v>
      </c>
      <c r="AP50" s="44" t="s">
        <v>683</v>
      </c>
      <c r="AQ50" s="34" t="s">
        <v>710</v>
      </c>
      <c r="AS50" s="43">
        <f>AM50+AN50</f>
        <v>3551.5549999999998</v>
      </c>
      <c r="AT50" s="43">
        <f>G50/(100-AU50)*100</f>
        <v>127</v>
      </c>
      <c r="AU50" s="43">
        <v>0</v>
      </c>
      <c r="AV50" s="43">
        <f>L50</f>
        <v>0</v>
      </c>
    </row>
    <row r="51" spans="1:48">
      <c r="D51" s="85" t="s">
        <v>382</v>
      </c>
      <c r="F51" s="77">
        <v>27.965</v>
      </c>
      <c r="G51" s="26"/>
    </row>
    <row r="52" spans="1:48">
      <c r="A52" s="5" t="s">
        <v>25</v>
      </c>
      <c r="B52" s="5" t="s">
        <v>194</v>
      </c>
      <c r="C52" s="5" t="s">
        <v>223</v>
      </c>
      <c r="D52" s="84" t="s">
        <v>383</v>
      </c>
      <c r="E52" s="5" t="s">
        <v>621</v>
      </c>
      <c r="F52" s="76">
        <v>5.593</v>
      </c>
      <c r="G52" s="25">
        <v>329</v>
      </c>
      <c r="H52" s="18">
        <f>F52*AE52</f>
        <v>16.728693755999057</v>
      </c>
      <c r="I52" s="18">
        <f>J52-H52</f>
        <v>1823.3683062440009</v>
      </c>
      <c r="J52" s="18">
        <f>F52*G52</f>
        <v>1840.097</v>
      </c>
      <c r="K52" s="18">
        <v>0</v>
      </c>
      <c r="L52" s="18">
        <f>F52*K52</f>
        <v>0</v>
      </c>
      <c r="M52" s="38" t="s">
        <v>643</v>
      </c>
      <c r="P52" s="43">
        <f>IF(AG52="5",J52,0)</f>
        <v>1840.097</v>
      </c>
      <c r="R52" s="43">
        <f>IF(AG52="1",H52,0)</f>
        <v>0</v>
      </c>
      <c r="S52" s="43">
        <f>IF(AG52="1",I52,0)</f>
        <v>0</v>
      </c>
      <c r="T52" s="43">
        <f>IF(AG52="7",H52,0)</f>
        <v>0</v>
      </c>
      <c r="U52" s="43">
        <f>IF(AG52="7",I52,0)</f>
        <v>0</v>
      </c>
      <c r="V52" s="43">
        <f>IF(AG52="2",H52,0)</f>
        <v>0</v>
      </c>
      <c r="W52" s="43">
        <f>IF(AG52="2",I52,0)</f>
        <v>0</v>
      </c>
      <c r="X52" s="43">
        <f>IF(AG52="0",J52,0)</f>
        <v>0</v>
      </c>
      <c r="Y52" s="34" t="s">
        <v>194</v>
      </c>
      <c r="Z52" s="18">
        <f>IF(AD52=0,J52,0)</f>
        <v>0</v>
      </c>
      <c r="AA52" s="18">
        <f>IF(AD52=15,J52,0)</f>
        <v>0</v>
      </c>
      <c r="AB52" s="18">
        <f>IF(AD52=21,J52,0)</f>
        <v>1840.097</v>
      </c>
      <c r="AD52" s="43">
        <v>21</v>
      </c>
      <c r="AE52" s="43">
        <f>G52*0.00909120212467009</f>
        <v>2.9910054990164596</v>
      </c>
      <c r="AF52" s="43">
        <f>G52*(1-0.00909120212467009)</f>
        <v>326.00899450098353</v>
      </c>
      <c r="AG52" s="38" t="s">
        <v>11</v>
      </c>
      <c r="AM52" s="43">
        <f>F52*AE52</f>
        <v>16.728693755999057</v>
      </c>
      <c r="AN52" s="43">
        <f>F52*AF52</f>
        <v>1823.3683062440009</v>
      </c>
      <c r="AO52" s="44" t="s">
        <v>662</v>
      </c>
      <c r="AP52" s="44" t="s">
        <v>683</v>
      </c>
      <c r="AQ52" s="34" t="s">
        <v>710</v>
      </c>
      <c r="AS52" s="43">
        <f>AM52+AN52</f>
        <v>1840.097</v>
      </c>
      <c r="AT52" s="43">
        <f>G52/(100-AU52)*100</f>
        <v>329</v>
      </c>
      <c r="AU52" s="43">
        <v>0</v>
      </c>
      <c r="AV52" s="43">
        <f>L52</f>
        <v>0</v>
      </c>
    </row>
    <row r="53" spans="1:48">
      <c r="A53" s="5" t="s">
        <v>26</v>
      </c>
      <c r="B53" s="5" t="s">
        <v>194</v>
      </c>
      <c r="C53" s="5" t="s">
        <v>224</v>
      </c>
      <c r="D53" s="84" t="s">
        <v>384</v>
      </c>
      <c r="E53" s="5" t="s">
        <v>621</v>
      </c>
      <c r="F53" s="76">
        <v>5.593</v>
      </c>
      <c r="G53" s="25">
        <v>9.9</v>
      </c>
      <c r="H53" s="18">
        <f>F53*AE53</f>
        <v>0</v>
      </c>
      <c r="I53" s="18">
        <f>J53-H53</f>
        <v>55.370699999999999</v>
      </c>
      <c r="J53" s="18">
        <f>F53*G53</f>
        <v>55.370699999999999</v>
      </c>
      <c r="K53" s="18">
        <v>0</v>
      </c>
      <c r="L53" s="18">
        <f>F53*K53</f>
        <v>0</v>
      </c>
      <c r="M53" s="38" t="s">
        <v>643</v>
      </c>
      <c r="P53" s="43">
        <f>IF(AG53="5",J53,0)</f>
        <v>55.370699999999999</v>
      </c>
      <c r="R53" s="43">
        <f>IF(AG53="1",H53,0)</f>
        <v>0</v>
      </c>
      <c r="S53" s="43">
        <f>IF(AG53="1",I53,0)</f>
        <v>0</v>
      </c>
      <c r="T53" s="43">
        <f>IF(AG53="7",H53,0)</f>
        <v>0</v>
      </c>
      <c r="U53" s="43">
        <f>IF(AG53="7",I53,0)</f>
        <v>0</v>
      </c>
      <c r="V53" s="43">
        <f>IF(AG53="2",H53,0)</f>
        <v>0</v>
      </c>
      <c r="W53" s="43">
        <f>IF(AG53="2",I53,0)</f>
        <v>0</v>
      </c>
      <c r="X53" s="43">
        <f>IF(AG53="0",J53,0)</f>
        <v>0</v>
      </c>
      <c r="Y53" s="34" t="s">
        <v>194</v>
      </c>
      <c r="Z53" s="18">
        <f>IF(AD53=0,J53,0)</f>
        <v>0</v>
      </c>
      <c r="AA53" s="18">
        <f>IF(AD53=15,J53,0)</f>
        <v>0</v>
      </c>
      <c r="AB53" s="18">
        <f>IF(AD53=21,J53,0)</f>
        <v>55.370699999999999</v>
      </c>
      <c r="AD53" s="43">
        <v>21</v>
      </c>
      <c r="AE53" s="43">
        <f>G53*0</f>
        <v>0</v>
      </c>
      <c r="AF53" s="43">
        <f>G53*(1-0)</f>
        <v>9.9</v>
      </c>
      <c r="AG53" s="38" t="s">
        <v>11</v>
      </c>
      <c r="AM53" s="43">
        <f>F53*AE53</f>
        <v>0</v>
      </c>
      <c r="AN53" s="43">
        <f>F53*AF53</f>
        <v>55.370699999999999</v>
      </c>
      <c r="AO53" s="44" t="s">
        <v>662</v>
      </c>
      <c r="AP53" s="44" t="s">
        <v>683</v>
      </c>
      <c r="AQ53" s="34" t="s">
        <v>710</v>
      </c>
      <c r="AS53" s="43">
        <f>AM53+AN53</f>
        <v>55.370699999999999</v>
      </c>
      <c r="AT53" s="43">
        <f>G53/(100-AU53)*100</f>
        <v>9.9</v>
      </c>
      <c r="AU53" s="43">
        <v>0</v>
      </c>
      <c r="AV53" s="43">
        <f>L53</f>
        <v>0</v>
      </c>
    </row>
    <row r="54" spans="1:48">
      <c r="A54" s="5" t="s">
        <v>27</v>
      </c>
      <c r="B54" s="5" t="s">
        <v>194</v>
      </c>
      <c r="C54" s="5" t="s">
        <v>225</v>
      </c>
      <c r="D54" s="84" t="s">
        <v>385</v>
      </c>
      <c r="E54" s="5" t="s">
        <v>621</v>
      </c>
      <c r="F54" s="76">
        <v>55.93</v>
      </c>
      <c r="G54" s="25">
        <v>7.9</v>
      </c>
      <c r="H54" s="18">
        <f>F54*AE54</f>
        <v>0</v>
      </c>
      <c r="I54" s="18">
        <f>J54-H54</f>
        <v>441.84700000000004</v>
      </c>
      <c r="J54" s="18">
        <f>F54*G54</f>
        <v>441.84700000000004</v>
      </c>
      <c r="K54" s="18">
        <v>0</v>
      </c>
      <c r="L54" s="18">
        <f>F54*K54</f>
        <v>0</v>
      </c>
      <c r="M54" s="38" t="s">
        <v>643</v>
      </c>
      <c r="P54" s="43">
        <f>IF(AG54="5",J54,0)</f>
        <v>441.84700000000004</v>
      </c>
      <c r="R54" s="43">
        <f>IF(AG54="1",H54,0)</f>
        <v>0</v>
      </c>
      <c r="S54" s="43">
        <f>IF(AG54="1",I54,0)</f>
        <v>0</v>
      </c>
      <c r="T54" s="43">
        <f>IF(AG54="7",H54,0)</f>
        <v>0</v>
      </c>
      <c r="U54" s="43">
        <f>IF(AG54="7",I54,0)</f>
        <v>0</v>
      </c>
      <c r="V54" s="43">
        <f>IF(AG54="2",H54,0)</f>
        <v>0</v>
      </c>
      <c r="W54" s="43">
        <f>IF(AG54="2",I54,0)</f>
        <v>0</v>
      </c>
      <c r="X54" s="43">
        <f>IF(AG54="0",J54,0)</f>
        <v>0</v>
      </c>
      <c r="Y54" s="34" t="s">
        <v>194</v>
      </c>
      <c r="Z54" s="18">
        <f>IF(AD54=0,J54,0)</f>
        <v>0</v>
      </c>
      <c r="AA54" s="18">
        <f>IF(AD54=15,J54,0)</f>
        <v>0</v>
      </c>
      <c r="AB54" s="18">
        <f>IF(AD54=21,J54,0)</f>
        <v>441.84700000000004</v>
      </c>
      <c r="AD54" s="43">
        <v>21</v>
      </c>
      <c r="AE54" s="43">
        <f>G54*0</f>
        <v>0</v>
      </c>
      <c r="AF54" s="43">
        <f>G54*(1-0)</f>
        <v>7.9</v>
      </c>
      <c r="AG54" s="38" t="s">
        <v>11</v>
      </c>
      <c r="AM54" s="43">
        <f>F54*AE54</f>
        <v>0</v>
      </c>
      <c r="AN54" s="43">
        <f>F54*AF54</f>
        <v>441.84700000000004</v>
      </c>
      <c r="AO54" s="44" t="s">
        <v>662</v>
      </c>
      <c r="AP54" s="44" t="s">
        <v>683</v>
      </c>
      <c r="AQ54" s="34" t="s">
        <v>710</v>
      </c>
      <c r="AS54" s="43">
        <f>AM54+AN54</f>
        <v>441.84700000000004</v>
      </c>
      <c r="AT54" s="43">
        <f>G54/(100-AU54)*100</f>
        <v>7.9</v>
      </c>
      <c r="AU54" s="43">
        <v>0</v>
      </c>
      <c r="AV54" s="43">
        <f>L54</f>
        <v>0</v>
      </c>
    </row>
    <row r="55" spans="1:48">
      <c r="D55" s="85" t="s">
        <v>386</v>
      </c>
      <c r="F55" s="77">
        <v>55.93</v>
      </c>
      <c r="G55" s="26"/>
    </row>
    <row r="56" spans="1:48">
      <c r="A56" s="5" t="s">
        <v>28</v>
      </c>
      <c r="B56" s="5" t="s">
        <v>194</v>
      </c>
      <c r="C56" s="5" t="s">
        <v>226</v>
      </c>
      <c r="D56" s="84" t="s">
        <v>387</v>
      </c>
      <c r="E56" s="5" t="s">
        <v>621</v>
      </c>
      <c r="F56" s="76">
        <v>5.593</v>
      </c>
      <c r="G56" s="25">
        <v>300</v>
      </c>
      <c r="H56" s="18">
        <f>F56*AE56</f>
        <v>0</v>
      </c>
      <c r="I56" s="18">
        <f>J56-H56</f>
        <v>1677.9</v>
      </c>
      <c r="J56" s="18">
        <f>F56*G56</f>
        <v>1677.9</v>
      </c>
      <c r="K56" s="18">
        <v>0</v>
      </c>
      <c r="L56" s="18">
        <f>F56*K56</f>
        <v>0</v>
      </c>
      <c r="M56" s="38" t="s">
        <v>643</v>
      </c>
      <c r="P56" s="43">
        <f>IF(AG56="5",J56,0)</f>
        <v>1677.9</v>
      </c>
      <c r="R56" s="43">
        <f>IF(AG56="1",H56,0)</f>
        <v>0</v>
      </c>
      <c r="S56" s="43">
        <f>IF(AG56="1",I56,0)</f>
        <v>0</v>
      </c>
      <c r="T56" s="43">
        <f>IF(AG56="7",H56,0)</f>
        <v>0</v>
      </c>
      <c r="U56" s="43">
        <f>IF(AG56="7",I56,0)</f>
        <v>0</v>
      </c>
      <c r="V56" s="43">
        <f>IF(AG56="2",H56,0)</f>
        <v>0</v>
      </c>
      <c r="W56" s="43">
        <f>IF(AG56="2",I56,0)</f>
        <v>0</v>
      </c>
      <c r="X56" s="43">
        <f>IF(AG56="0",J56,0)</f>
        <v>0</v>
      </c>
      <c r="Y56" s="34" t="s">
        <v>194</v>
      </c>
      <c r="Z56" s="18">
        <f>IF(AD56=0,J56,0)</f>
        <v>0</v>
      </c>
      <c r="AA56" s="18">
        <f>IF(AD56=15,J56,0)</f>
        <v>0</v>
      </c>
      <c r="AB56" s="18">
        <f>IF(AD56=21,J56,0)</f>
        <v>1677.9</v>
      </c>
      <c r="AD56" s="43">
        <v>21</v>
      </c>
      <c r="AE56" s="43">
        <f>G56*0</f>
        <v>0</v>
      </c>
      <c r="AF56" s="43">
        <f>G56*(1-0)</f>
        <v>300</v>
      </c>
      <c r="AG56" s="38" t="s">
        <v>11</v>
      </c>
      <c r="AM56" s="43">
        <f>F56*AE56</f>
        <v>0</v>
      </c>
      <c r="AN56" s="43">
        <f>F56*AF56</f>
        <v>1677.9</v>
      </c>
      <c r="AO56" s="44" t="s">
        <v>662</v>
      </c>
      <c r="AP56" s="44" t="s">
        <v>683</v>
      </c>
      <c r="AQ56" s="34" t="s">
        <v>710</v>
      </c>
      <c r="AS56" s="43">
        <f>AM56+AN56</f>
        <v>1677.9</v>
      </c>
      <c r="AT56" s="43">
        <f>G56/(100-AU56)*100</f>
        <v>300</v>
      </c>
      <c r="AU56" s="43">
        <v>0</v>
      </c>
      <c r="AV56" s="43">
        <f>L56</f>
        <v>0</v>
      </c>
    </row>
    <row r="57" spans="1:48">
      <c r="A57" s="7"/>
      <c r="B57" s="15" t="s">
        <v>195</v>
      </c>
      <c r="C57" s="15"/>
      <c r="D57" s="87" t="s">
        <v>388</v>
      </c>
      <c r="E57" s="7" t="s">
        <v>6</v>
      </c>
      <c r="F57" s="7" t="s">
        <v>6</v>
      </c>
      <c r="G57" s="28" t="s">
        <v>6</v>
      </c>
      <c r="H57" s="47">
        <f>H58+H61+H74+H88+H103</f>
        <v>17917.064605273092</v>
      </c>
      <c r="I57" s="47">
        <f>I58+I61+I74+I88+I103</f>
        <v>1013651.2487947268</v>
      </c>
      <c r="J57" s="47">
        <f>H57+I57</f>
        <v>1031568.3133999999</v>
      </c>
      <c r="K57" s="35"/>
      <c r="L57" s="47">
        <f>L58+L61+L74+L88+L103</f>
        <v>7.6732231399999993</v>
      </c>
      <c r="M57" s="35"/>
    </row>
    <row r="58" spans="1:48">
      <c r="A58" s="4"/>
      <c r="B58" s="14" t="s">
        <v>195</v>
      </c>
      <c r="C58" s="14" t="s">
        <v>67</v>
      </c>
      <c r="D58" s="83" t="s">
        <v>389</v>
      </c>
      <c r="E58" s="4" t="s">
        <v>6</v>
      </c>
      <c r="F58" s="4" t="s">
        <v>6</v>
      </c>
      <c r="G58" s="24" t="s">
        <v>6</v>
      </c>
      <c r="H58" s="46">
        <f>SUM(H59:H59)</f>
        <v>10795.498959985032</v>
      </c>
      <c r="I58" s="46">
        <f>SUM(I59:I59)</f>
        <v>35918.869040014972</v>
      </c>
      <c r="J58" s="46">
        <f>H58+I58</f>
        <v>46714.368000000002</v>
      </c>
      <c r="K58" s="34"/>
      <c r="L58" s="46">
        <f>SUM(L59:L59)</f>
        <v>1.1154772799999999</v>
      </c>
      <c r="M58" s="34"/>
      <c r="Y58" s="34" t="s">
        <v>195</v>
      </c>
      <c r="AI58" s="46">
        <f>SUM(Z59:Z59)</f>
        <v>0</v>
      </c>
      <c r="AJ58" s="46">
        <f>SUM(AA59:AA59)</f>
        <v>0</v>
      </c>
      <c r="AK58" s="46">
        <f>SUM(AB59:AB59)</f>
        <v>46714.368000000002</v>
      </c>
    </row>
    <row r="59" spans="1:48">
      <c r="A59" s="5" t="s">
        <v>29</v>
      </c>
      <c r="B59" s="5" t="s">
        <v>195</v>
      </c>
      <c r="C59" s="5" t="s">
        <v>227</v>
      </c>
      <c r="D59" s="84" t="s">
        <v>390</v>
      </c>
      <c r="E59" s="5" t="s">
        <v>620</v>
      </c>
      <c r="F59" s="76">
        <v>85.872</v>
      </c>
      <c r="G59" s="25">
        <v>544</v>
      </c>
      <c r="H59" s="18">
        <f>F59*AE59</f>
        <v>10795.498959985032</v>
      </c>
      <c r="I59" s="18">
        <f>J59-H59</f>
        <v>35918.869040014972</v>
      </c>
      <c r="J59" s="18">
        <f>F59*G59</f>
        <v>46714.368000000002</v>
      </c>
      <c r="K59" s="18">
        <v>1.299E-2</v>
      </c>
      <c r="L59" s="18">
        <f>F59*K59</f>
        <v>1.1154772799999999</v>
      </c>
      <c r="M59" s="38" t="s">
        <v>643</v>
      </c>
      <c r="P59" s="43">
        <f>IF(AG59="5",J59,0)</f>
        <v>0</v>
      </c>
      <c r="R59" s="43">
        <f>IF(AG59="1",H59,0)</f>
        <v>10795.498959985032</v>
      </c>
      <c r="S59" s="43">
        <f>IF(AG59="1",I59,0)</f>
        <v>35918.869040014972</v>
      </c>
      <c r="T59" s="43">
        <f>IF(AG59="7",H59,0)</f>
        <v>0</v>
      </c>
      <c r="U59" s="43">
        <f>IF(AG59="7",I59,0)</f>
        <v>0</v>
      </c>
      <c r="V59" s="43">
        <f>IF(AG59="2",H59,0)</f>
        <v>0</v>
      </c>
      <c r="W59" s="43">
        <f>IF(AG59="2",I59,0)</f>
        <v>0</v>
      </c>
      <c r="X59" s="43">
        <f>IF(AG59="0",J59,0)</f>
        <v>0</v>
      </c>
      <c r="Y59" s="34" t="s">
        <v>195</v>
      </c>
      <c r="Z59" s="18">
        <f>IF(AD59=0,J59,0)</f>
        <v>0</v>
      </c>
      <c r="AA59" s="18">
        <f>IF(AD59=15,J59,0)</f>
        <v>0</v>
      </c>
      <c r="AB59" s="18">
        <f>IF(AD59=21,J59,0)</f>
        <v>46714.368000000002</v>
      </c>
      <c r="AD59" s="43">
        <v>21</v>
      </c>
      <c r="AE59" s="43">
        <f>G59*0.231095900943903</f>
        <v>125.71617011348323</v>
      </c>
      <c r="AF59" s="43">
        <f>G59*(1-0.231095900943903)</f>
        <v>418.2838298865168</v>
      </c>
      <c r="AG59" s="38" t="s">
        <v>7</v>
      </c>
      <c r="AM59" s="43">
        <f>F59*AE59</f>
        <v>10795.498959985032</v>
      </c>
      <c r="AN59" s="43">
        <f>F59*AF59</f>
        <v>35918.869040014972</v>
      </c>
      <c r="AO59" s="44" t="s">
        <v>663</v>
      </c>
      <c r="AP59" s="44" t="s">
        <v>684</v>
      </c>
      <c r="AQ59" s="34" t="s">
        <v>711</v>
      </c>
      <c r="AS59" s="43">
        <f>AM59+AN59</f>
        <v>46714.368000000002</v>
      </c>
      <c r="AT59" s="43">
        <f>G59/(100-AU59)*100</f>
        <v>544</v>
      </c>
      <c r="AU59" s="43">
        <v>0</v>
      </c>
      <c r="AV59" s="43">
        <f>L59</f>
        <v>1.1154772799999999</v>
      </c>
    </row>
    <row r="60" spans="1:48">
      <c r="D60" s="85" t="s">
        <v>391</v>
      </c>
      <c r="F60" s="77">
        <v>85.872</v>
      </c>
      <c r="G60" s="26"/>
    </row>
    <row r="61" spans="1:48">
      <c r="A61" s="4"/>
      <c r="B61" s="14" t="s">
        <v>195</v>
      </c>
      <c r="C61" s="14" t="s">
        <v>228</v>
      </c>
      <c r="D61" s="83" t="s">
        <v>392</v>
      </c>
      <c r="E61" s="4" t="s">
        <v>6</v>
      </c>
      <c r="F61" s="4" t="s">
        <v>6</v>
      </c>
      <c r="G61" s="24" t="s">
        <v>6</v>
      </c>
      <c r="H61" s="46">
        <f>SUM(H62:H73)</f>
        <v>0</v>
      </c>
      <c r="I61" s="46">
        <f>SUM(I62:I73)</f>
        <v>918838</v>
      </c>
      <c r="J61" s="46">
        <f>H61+I61</f>
        <v>918838</v>
      </c>
      <c r="K61" s="34"/>
      <c r="L61" s="46">
        <f>SUM(L62:L73)</f>
        <v>1.0483199999999997</v>
      </c>
      <c r="M61" s="34"/>
      <c r="Y61" s="34" t="s">
        <v>195</v>
      </c>
      <c r="AI61" s="46">
        <f>SUM(Z62:Z73)</f>
        <v>0</v>
      </c>
      <c r="AJ61" s="46">
        <f>SUM(AA62:AA73)</f>
        <v>0</v>
      </c>
      <c r="AK61" s="46">
        <f>SUM(AB62:AB73)</f>
        <v>918838</v>
      </c>
    </row>
    <row r="62" spans="1:48" ht="25.5">
      <c r="A62" s="5" t="s">
        <v>30</v>
      </c>
      <c r="B62" s="5" t="s">
        <v>195</v>
      </c>
      <c r="C62" s="5" t="s">
        <v>229</v>
      </c>
      <c r="D62" s="84" t="s">
        <v>393</v>
      </c>
      <c r="E62" s="5" t="s">
        <v>622</v>
      </c>
      <c r="F62" s="76">
        <v>10</v>
      </c>
      <c r="G62" s="25">
        <v>13750</v>
      </c>
      <c r="H62" s="18">
        <f t="shared" ref="H62:H73" si="0">F62*AE62</f>
        <v>0</v>
      </c>
      <c r="I62" s="18">
        <f t="shared" ref="I62:I73" si="1">J62-H62</f>
        <v>137500</v>
      </c>
      <c r="J62" s="18">
        <f t="shared" ref="J62:J73" si="2">F62*G62</f>
        <v>137500</v>
      </c>
      <c r="K62" s="18">
        <v>1.6379999999999999E-2</v>
      </c>
      <c r="L62" s="18">
        <f t="shared" ref="L62:L73" si="3">F62*K62</f>
        <v>0.1638</v>
      </c>
      <c r="M62" s="38" t="s">
        <v>643</v>
      </c>
      <c r="P62" s="43">
        <f t="shared" ref="P62:P73" si="4">IF(AG62="5",J62,0)</f>
        <v>0</v>
      </c>
      <c r="R62" s="43">
        <f t="shared" ref="R62:R73" si="5">IF(AG62="1",H62,0)</f>
        <v>0</v>
      </c>
      <c r="S62" s="43">
        <f t="shared" ref="S62:S73" si="6">IF(AG62="1",I62,0)</f>
        <v>0</v>
      </c>
      <c r="T62" s="43">
        <f t="shared" ref="T62:T73" si="7">IF(AG62="7",H62,0)</f>
        <v>0</v>
      </c>
      <c r="U62" s="43">
        <f t="shared" ref="U62:U73" si="8">IF(AG62="7",I62,0)</f>
        <v>137500</v>
      </c>
      <c r="V62" s="43">
        <f t="shared" ref="V62:V73" si="9">IF(AG62="2",H62,0)</f>
        <v>0</v>
      </c>
      <c r="W62" s="43">
        <f t="shared" ref="W62:W73" si="10">IF(AG62="2",I62,0)</f>
        <v>0</v>
      </c>
      <c r="X62" s="43">
        <f t="shared" ref="X62:X73" si="11">IF(AG62="0",J62,0)</f>
        <v>0</v>
      </c>
      <c r="Y62" s="34" t="s">
        <v>195</v>
      </c>
      <c r="Z62" s="18">
        <f t="shared" ref="Z62:Z73" si="12">IF(AD62=0,J62,0)</f>
        <v>0</v>
      </c>
      <c r="AA62" s="18">
        <f t="shared" ref="AA62:AA73" si="13">IF(AD62=15,J62,0)</f>
        <v>0</v>
      </c>
      <c r="AB62" s="18">
        <f t="shared" ref="AB62:AB73" si="14">IF(AD62=21,J62,0)</f>
        <v>137500</v>
      </c>
      <c r="AD62" s="43">
        <v>21</v>
      </c>
      <c r="AE62" s="43">
        <f t="shared" ref="AE62:AE73" si="15">G62*0</f>
        <v>0</v>
      </c>
      <c r="AF62" s="43">
        <f t="shared" ref="AF62:AF73" si="16">G62*(1-0)</f>
        <v>13750</v>
      </c>
      <c r="AG62" s="38" t="s">
        <v>13</v>
      </c>
      <c r="AM62" s="43">
        <f t="shared" ref="AM62:AM73" si="17">F62*AE62</f>
        <v>0</v>
      </c>
      <c r="AN62" s="43">
        <f t="shared" ref="AN62:AN73" si="18">F62*AF62</f>
        <v>137500</v>
      </c>
      <c r="AO62" s="44" t="s">
        <v>664</v>
      </c>
      <c r="AP62" s="44" t="s">
        <v>685</v>
      </c>
      <c r="AQ62" s="34" t="s">
        <v>711</v>
      </c>
      <c r="AS62" s="43">
        <f t="shared" ref="AS62:AS73" si="19">AM62+AN62</f>
        <v>137500</v>
      </c>
      <c r="AT62" s="43">
        <f t="shared" ref="AT62:AT73" si="20">G62/(100-AU62)*100</f>
        <v>13750</v>
      </c>
      <c r="AU62" s="43">
        <v>0</v>
      </c>
      <c r="AV62" s="43">
        <f t="shared" ref="AV62:AV73" si="21">L62</f>
        <v>0.1638</v>
      </c>
    </row>
    <row r="63" spans="1:48" ht="25.5">
      <c r="A63" s="5" t="s">
        <v>31</v>
      </c>
      <c r="B63" s="5" t="s">
        <v>195</v>
      </c>
      <c r="C63" s="5" t="s">
        <v>230</v>
      </c>
      <c r="D63" s="84" t="s">
        <v>394</v>
      </c>
      <c r="E63" s="5" t="s">
        <v>622</v>
      </c>
      <c r="F63" s="76">
        <v>24</v>
      </c>
      <c r="G63" s="25">
        <v>13750</v>
      </c>
      <c r="H63" s="18">
        <f t="shared" si="0"/>
        <v>0</v>
      </c>
      <c r="I63" s="18">
        <f t="shared" si="1"/>
        <v>330000</v>
      </c>
      <c r="J63" s="18">
        <f t="shared" si="2"/>
        <v>330000</v>
      </c>
      <c r="K63" s="18">
        <v>1.6379999999999999E-2</v>
      </c>
      <c r="L63" s="18">
        <f t="shared" si="3"/>
        <v>0.39311999999999997</v>
      </c>
      <c r="M63" s="38" t="s">
        <v>643</v>
      </c>
      <c r="P63" s="43">
        <f t="shared" si="4"/>
        <v>0</v>
      </c>
      <c r="R63" s="43">
        <f t="shared" si="5"/>
        <v>0</v>
      </c>
      <c r="S63" s="43">
        <f t="shared" si="6"/>
        <v>0</v>
      </c>
      <c r="T63" s="43">
        <f t="shared" si="7"/>
        <v>0</v>
      </c>
      <c r="U63" s="43">
        <f t="shared" si="8"/>
        <v>330000</v>
      </c>
      <c r="V63" s="43">
        <f t="shared" si="9"/>
        <v>0</v>
      </c>
      <c r="W63" s="43">
        <f t="shared" si="10"/>
        <v>0</v>
      </c>
      <c r="X63" s="43">
        <f t="shared" si="11"/>
        <v>0</v>
      </c>
      <c r="Y63" s="34" t="s">
        <v>195</v>
      </c>
      <c r="Z63" s="18">
        <f t="shared" si="12"/>
        <v>0</v>
      </c>
      <c r="AA63" s="18">
        <f t="shared" si="13"/>
        <v>0</v>
      </c>
      <c r="AB63" s="18">
        <f t="shared" si="14"/>
        <v>330000</v>
      </c>
      <c r="AD63" s="43">
        <v>21</v>
      </c>
      <c r="AE63" s="43">
        <f t="shared" si="15"/>
        <v>0</v>
      </c>
      <c r="AF63" s="43">
        <f t="shared" si="16"/>
        <v>13750</v>
      </c>
      <c r="AG63" s="38" t="s">
        <v>13</v>
      </c>
      <c r="AM63" s="43">
        <f t="shared" si="17"/>
        <v>0</v>
      </c>
      <c r="AN63" s="43">
        <f t="shared" si="18"/>
        <v>330000</v>
      </c>
      <c r="AO63" s="44" t="s">
        <v>664</v>
      </c>
      <c r="AP63" s="44" t="s">
        <v>685</v>
      </c>
      <c r="AQ63" s="34" t="s">
        <v>711</v>
      </c>
      <c r="AS63" s="43">
        <f t="shared" si="19"/>
        <v>330000</v>
      </c>
      <c r="AT63" s="43">
        <f t="shared" si="20"/>
        <v>13750</v>
      </c>
      <c r="AU63" s="43">
        <v>0</v>
      </c>
      <c r="AV63" s="43">
        <f t="shared" si="21"/>
        <v>0.39311999999999997</v>
      </c>
    </row>
    <row r="64" spans="1:48" ht="25.5">
      <c r="A64" s="5" t="s">
        <v>32</v>
      </c>
      <c r="B64" s="5" t="s">
        <v>195</v>
      </c>
      <c r="C64" s="5" t="s">
        <v>231</v>
      </c>
      <c r="D64" s="84" t="s">
        <v>395</v>
      </c>
      <c r="E64" s="5" t="s">
        <v>622</v>
      </c>
      <c r="F64" s="76">
        <v>7</v>
      </c>
      <c r="G64" s="25">
        <v>13750</v>
      </c>
      <c r="H64" s="18">
        <f t="shared" si="0"/>
        <v>0</v>
      </c>
      <c r="I64" s="18">
        <f t="shared" si="1"/>
        <v>96250</v>
      </c>
      <c r="J64" s="18">
        <f t="shared" si="2"/>
        <v>96250</v>
      </c>
      <c r="K64" s="18">
        <v>1.6379999999999999E-2</v>
      </c>
      <c r="L64" s="18">
        <f t="shared" si="3"/>
        <v>0.11465999999999998</v>
      </c>
      <c r="M64" s="38" t="s">
        <v>643</v>
      </c>
      <c r="P64" s="43">
        <f t="shared" si="4"/>
        <v>0</v>
      </c>
      <c r="R64" s="43">
        <f t="shared" si="5"/>
        <v>0</v>
      </c>
      <c r="S64" s="43">
        <f t="shared" si="6"/>
        <v>0</v>
      </c>
      <c r="T64" s="43">
        <f t="shared" si="7"/>
        <v>0</v>
      </c>
      <c r="U64" s="43">
        <f t="shared" si="8"/>
        <v>96250</v>
      </c>
      <c r="V64" s="43">
        <f t="shared" si="9"/>
        <v>0</v>
      </c>
      <c r="W64" s="43">
        <f t="shared" si="10"/>
        <v>0</v>
      </c>
      <c r="X64" s="43">
        <f t="shared" si="11"/>
        <v>0</v>
      </c>
      <c r="Y64" s="34" t="s">
        <v>195</v>
      </c>
      <c r="Z64" s="18">
        <f t="shared" si="12"/>
        <v>0</v>
      </c>
      <c r="AA64" s="18">
        <f t="shared" si="13"/>
        <v>0</v>
      </c>
      <c r="AB64" s="18">
        <f t="shared" si="14"/>
        <v>96250</v>
      </c>
      <c r="AD64" s="43">
        <v>21</v>
      </c>
      <c r="AE64" s="43">
        <f t="shared" si="15"/>
        <v>0</v>
      </c>
      <c r="AF64" s="43">
        <f t="shared" si="16"/>
        <v>13750</v>
      </c>
      <c r="AG64" s="38" t="s">
        <v>13</v>
      </c>
      <c r="AM64" s="43">
        <f t="shared" si="17"/>
        <v>0</v>
      </c>
      <c r="AN64" s="43">
        <f t="shared" si="18"/>
        <v>96250</v>
      </c>
      <c r="AO64" s="44" t="s">
        <v>664</v>
      </c>
      <c r="AP64" s="44" t="s">
        <v>685</v>
      </c>
      <c r="AQ64" s="34" t="s">
        <v>711</v>
      </c>
      <c r="AS64" s="43">
        <f t="shared" si="19"/>
        <v>96250</v>
      </c>
      <c r="AT64" s="43">
        <f t="shared" si="20"/>
        <v>13750</v>
      </c>
      <c r="AU64" s="43">
        <v>0</v>
      </c>
      <c r="AV64" s="43">
        <f t="shared" si="21"/>
        <v>0.11465999999999998</v>
      </c>
    </row>
    <row r="65" spans="1:48" ht="25.5">
      <c r="A65" s="5" t="s">
        <v>33</v>
      </c>
      <c r="B65" s="5" t="s">
        <v>195</v>
      </c>
      <c r="C65" s="5" t="s">
        <v>232</v>
      </c>
      <c r="D65" s="84" t="s">
        <v>396</v>
      </c>
      <c r="E65" s="5" t="s">
        <v>622</v>
      </c>
      <c r="F65" s="76">
        <v>8</v>
      </c>
      <c r="G65" s="25">
        <v>12036</v>
      </c>
      <c r="H65" s="18">
        <f t="shared" si="0"/>
        <v>0</v>
      </c>
      <c r="I65" s="18">
        <f t="shared" si="1"/>
        <v>96288</v>
      </c>
      <c r="J65" s="18">
        <f t="shared" si="2"/>
        <v>96288</v>
      </c>
      <c r="K65" s="18">
        <v>1.6379999999999999E-2</v>
      </c>
      <c r="L65" s="18">
        <f t="shared" si="3"/>
        <v>0.13103999999999999</v>
      </c>
      <c r="M65" s="38" t="s">
        <v>643</v>
      </c>
      <c r="P65" s="43">
        <f t="shared" si="4"/>
        <v>0</v>
      </c>
      <c r="R65" s="43">
        <f t="shared" si="5"/>
        <v>0</v>
      </c>
      <c r="S65" s="43">
        <f t="shared" si="6"/>
        <v>0</v>
      </c>
      <c r="T65" s="43">
        <f t="shared" si="7"/>
        <v>0</v>
      </c>
      <c r="U65" s="43">
        <f t="shared" si="8"/>
        <v>96288</v>
      </c>
      <c r="V65" s="43">
        <f t="shared" si="9"/>
        <v>0</v>
      </c>
      <c r="W65" s="43">
        <f t="shared" si="10"/>
        <v>0</v>
      </c>
      <c r="X65" s="43">
        <f t="shared" si="11"/>
        <v>0</v>
      </c>
      <c r="Y65" s="34" t="s">
        <v>195</v>
      </c>
      <c r="Z65" s="18">
        <f t="shared" si="12"/>
        <v>0</v>
      </c>
      <c r="AA65" s="18">
        <f t="shared" si="13"/>
        <v>0</v>
      </c>
      <c r="AB65" s="18">
        <f t="shared" si="14"/>
        <v>96288</v>
      </c>
      <c r="AD65" s="43">
        <v>21</v>
      </c>
      <c r="AE65" s="43">
        <f t="shared" si="15"/>
        <v>0</v>
      </c>
      <c r="AF65" s="43">
        <f t="shared" si="16"/>
        <v>12036</v>
      </c>
      <c r="AG65" s="38" t="s">
        <v>13</v>
      </c>
      <c r="AM65" s="43">
        <f t="shared" si="17"/>
        <v>0</v>
      </c>
      <c r="AN65" s="43">
        <f t="shared" si="18"/>
        <v>96288</v>
      </c>
      <c r="AO65" s="44" t="s">
        <v>664</v>
      </c>
      <c r="AP65" s="44" t="s">
        <v>685</v>
      </c>
      <c r="AQ65" s="34" t="s">
        <v>711</v>
      </c>
      <c r="AS65" s="43">
        <f t="shared" si="19"/>
        <v>96288</v>
      </c>
      <c r="AT65" s="43">
        <f t="shared" si="20"/>
        <v>12036</v>
      </c>
      <c r="AU65" s="43">
        <v>0</v>
      </c>
      <c r="AV65" s="43">
        <f t="shared" si="21"/>
        <v>0.13103999999999999</v>
      </c>
    </row>
    <row r="66" spans="1:48" ht="25.5">
      <c r="A66" s="5" t="s">
        <v>34</v>
      </c>
      <c r="B66" s="5" t="s">
        <v>195</v>
      </c>
      <c r="C66" s="5" t="s">
        <v>233</v>
      </c>
      <c r="D66" s="84" t="s">
        <v>397</v>
      </c>
      <c r="E66" s="5" t="s">
        <v>622</v>
      </c>
      <c r="F66" s="76">
        <v>2</v>
      </c>
      <c r="G66" s="25">
        <v>12301</v>
      </c>
      <c r="H66" s="18">
        <f t="shared" si="0"/>
        <v>0</v>
      </c>
      <c r="I66" s="18">
        <f t="shared" si="1"/>
        <v>24602</v>
      </c>
      <c r="J66" s="18">
        <f t="shared" si="2"/>
        <v>24602</v>
      </c>
      <c r="K66" s="18">
        <v>1.6379999999999999E-2</v>
      </c>
      <c r="L66" s="18">
        <f t="shared" si="3"/>
        <v>3.2759999999999997E-2</v>
      </c>
      <c r="M66" s="38" t="s">
        <v>643</v>
      </c>
      <c r="P66" s="43">
        <f t="shared" si="4"/>
        <v>0</v>
      </c>
      <c r="R66" s="43">
        <f t="shared" si="5"/>
        <v>0</v>
      </c>
      <c r="S66" s="43">
        <f t="shared" si="6"/>
        <v>0</v>
      </c>
      <c r="T66" s="43">
        <f t="shared" si="7"/>
        <v>0</v>
      </c>
      <c r="U66" s="43">
        <f t="shared" si="8"/>
        <v>24602</v>
      </c>
      <c r="V66" s="43">
        <f t="shared" si="9"/>
        <v>0</v>
      </c>
      <c r="W66" s="43">
        <f t="shared" si="10"/>
        <v>0</v>
      </c>
      <c r="X66" s="43">
        <f t="shared" si="11"/>
        <v>0</v>
      </c>
      <c r="Y66" s="34" t="s">
        <v>195</v>
      </c>
      <c r="Z66" s="18">
        <f t="shared" si="12"/>
        <v>0</v>
      </c>
      <c r="AA66" s="18">
        <f t="shared" si="13"/>
        <v>0</v>
      </c>
      <c r="AB66" s="18">
        <f t="shared" si="14"/>
        <v>24602</v>
      </c>
      <c r="AD66" s="43">
        <v>21</v>
      </c>
      <c r="AE66" s="43">
        <f t="shared" si="15"/>
        <v>0</v>
      </c>
      <c r="AF66" s="43">
        <f t="shared" si="16"/>
        <v>12301</v>
      </c>
      <c r="AG66" s="38" t="s">
        <v>13</v>
      </c>
      <c r="AM66" s="43">
        <f t="shared" si="17"/>
        <v>0</v>
      </c>
      <c r="AN66" s="43">
        <f t="shared" si="18"/>
        <v>24602</v>
      </c>
      <c r="AO66" s="44" t="s">
        <v>664</v>
      </c>
      <c r="AP66" s="44" t="s">
        <v>685</v>
      </c>
      <c r="AQ66" s="34" t="s">
        <v>711</v>
      </c>
      <c r="AS66" s="43">
        <f t="shared" si="19"/>
        <v>24602</v>
      </c>
      <c r="AT66" s="43">
        <f t="shared" si="20"/>
        <v>12301</v>
      </c>
      <c r="AU66" s="43">
        <v>0</v>
      </c>
      <c r="AV66" s="43">
        <f t="shared" si="21"/>
        <v>3.2759999999999997E-2</v>
      </c>
    </row>
    <row r="67" spans="1:48" ht="25.5">
      <c r="A67" s="5" t="s">
        <v>35</v>
      </c>
      <c r="B67" s="5" t="s">
        <v>195</v>
      </c>
      <c r="C67" s="5" t="s">
        <v>234</v>
      </c>
      <c r="D67" s="84" t="s">
        <v>398</v>
      </c>
      <c r="E67" s="5" t="s">
        <v>622</v>
      </c>
      <c r="F67" s="76">
        <v>4</v>
      </c>
      <c r="G67" s="25">
        <v>25460</v>
      </c>
      <c r="H67" s="18">
        <f t="shared" si="0"/>
        <v>0</v>
      </c>
      <c r="I67" s="18">
        <f t="shared" si="1"/>
        <v>101840</v>
      </c>
      <c r="J67" s="18">
        <f t="shared" si="2"/>
        <v>101840</v>
      </c>
      <c r="K67" s="18">
        <v>1.6379999999999999E-2</v>
      </c>
      <c r="L67" s="18">
        <f t="shared" si="3"/>
        <v>6.5519999999999995E-2</v>
      </c>
      <c r="M67" s="38" t="s">
        <v>643</v>
      </c>
      <c r="P67" s="43">
        <f t="shared" si="4"/>
        <v>0</v>
      </c>
      <c r="R67" s="43">
        <f t="shared" si="5"/>
        <v>0</v>
      </c>
      <c r="S67" s="43">
        <f t="shared" si="6"/>
        <v>0</v>
      </c>
      <c r="T67" s="43">
        <f t="shared" si="7"/>
        <v>0</v>
      </c>
      <c r="U67" s="43">
        <f t="shared" si="8"/>
        <v>101840</v>
      </c>
      <c r="V67" s="43">
        <f t="shared" si="9"/>
        <v>0</v>
      </c>
      <c r="W67" s="43">
        <f t="shared" si="10"/>
        <v>0</v>
      </c>
      <c r="X67" s="43">
        <f t="shared" si="11"/>
        <v>0</v>
      </c>
      <c r="Y67" s="34" t="s">
        <v>195</v>
      </c>
      <c r="Z67" s="18">
        <f t="shared" si="12"/>
        <v>0</v>
      </c>
      <c r="AA67" s="18">
        <f t="shared" si="13"/>
        <v>0</v>
      </c>
      <c r="AB67" s="18">
        <f t="shared" si="14"/>
        <v>101840</v>
      </c>
      <c r="AD67" s="43">
        <v>21</v>
      </c>
      <c r="AE67" s="43">
        <f t="shared" si="15"/>
        <v>0</v>
      </c>
      <c r="AF67" s="43">
        <f t="shared" si="16"/>
        <v>25460</v>
      </c>
      <c r="AG67" s="38" t="s">
        <v>13</v>
      </c>
      <c r="AM67" s="43">
        <f t="shared" si="17"/>
        <v>0</v>
      </c>
      <c r="AN67" s="43">
        <f t="shared" si="18"/>
        <v>101840</v>
      </c>
      <c r="AO67" s="44" t="s">
        <v>664</v>
      </c>
      <c r="AP67" s="44" t="s">
        <v>685</v>
      </c>
      <c r="AQ67" s="34" t="s">
        <v>711</v>
      </c>
      <c r="AS67" s="43">
        <f t="shared" si="19"/>
        <v>101840</v>
      </c>
      <c r="AT67" s="43">
        <f t="shared" si="20"/>
        <v>25460</v>
      </c>
      <c r="AU67" s="43">
        <v>0</v>
      </c>
      <c r="AV67" s="43">
        <f t="shared" si="21"/>
        <v>6.5519999999999995E-2</v>
      </c>
    </row>
    <row r="68" spans="1:48" ht="25.5">
      <c r="A68" s="5" t="s">
        <v>36</v>
      </c>
      <c r="B68" s="5" t="s">
        <v>195</v>
      </c>
      <c r="C68" s="5" t="s">
        <v>235</v>
      </c>
      <c r="D68" s="84" t="s">
        <v>399</v>
      </c>
      <c r="E68" s="5" t="s">
        <v>622</v>
      </c>
      <c r="F68" s="76">
        <v>1</v>
      </c>
      <c r="G68" s="25">
        <v>14010</v>
      </c>
      <c r="H68" s="18">
        <f t="shared" si="0"/>
        <v>0</v>
      </c>
      <c r="I68" s="18">
        <f t="shared" si="1"/>
        <v>14010</v>
      </c>
      <c r="J68" s="18">
        <f t="shared" si="2"/>
        <v>14010</v>
      </c>
      <c r="K68" s="18">
        <v>1.6379999999999999E-2</v>
      </c>
      <c r="L68" s="18">
        <f t="shared" si="3"/>
        <v>1.6379999999999999E-2</v>
      </c>
      <c r="M68" s="38" t="s">
        <v>643</v>
      </c>
      <c r="P68" s="43">
        <f t="shared" si="4"/>
        <v>0</v>
      </c>
      <c r="R68" s="43">
        <f t="shared" si="5"/>
        <v>0</v>
      </c>
      <c r="S68" s="43">
        <f t="shared" si="6"/>
        <v>0</v>
      </c>
      <c r="T68" s="43">
        <f t="shared" si="7"/>
        <v>0</v>
      </c>
      <c r="U68" s="43">
        <f t="shared" si="8"/>
        <v>14010</v>
      </c>
      <c r="V68" s="43">
        <f t="shared" si="9"/>
        <v>0</v>
      </c>
      <c r="W68" s="43">
        <f t="shared" si="10"/>
        <v>0</v>
      </c>
      <c r="X68" s="43">
        <f t="shared" si="11"/>
        <v>0</v>
      </c>
      <c r="Y68" s="34" t="s">
        <v>195</v>
      </c>
      <c r="Z68" s="18">
        <f t="shared" si="12"/>
        <v>0</v>
      </c>
      <c r="AA68" s="18">
        <f t="shared" si="13"/>
        <v>0</v>
      </c>
      <c r="AB68" s="18">
        <f t="shared" si="14"/>
        <v>14010</v>
      </c>
      <c r="AD68" s="43">
        <v>21</v>
      </c>
      <c r="AE68" s="43">
        <f t="shared" si="15"/>
        <v>0</v>
      </c>
      <c r="AF68" s="43">
        <f t="shared" si="16"/>
        <v>14010</v>
      </c>
      <c r="AG68" s="38" t="s">
        <v>13</v>
      </c>
      <c r="AM68" s="43">
        <f t="shared" si="17"/>
        <v>0</v>
      </c>
      <c r="AN68" s="43">
        <f t="shared" si="18"/>
        <v>14010</v>
      </c>
      <c r="AO68" s="44" t="s">
        <v>664</v>
      </c>
      <c r="AP68" s="44" t="s">
        <v>685</v>
      </c>
      <c r="AQ68" s="34" t="s">
        <v>711</v>
      </c>
      <c r="AS68" s="43">
        <f t="shared" si="19"/>
        <v>14010</v>
      </c>
      <c r="AT68" s="43">
        <f t="shared" si="20"/>
        <v>14010</v>
      </c>
      <c r="AU68" s="43">
        <v>0</v>
      </c>
      <c r="AV68" s="43">
        <f t="shared" si="21"/>
        <v>1.6379999999999999E-2</v>
      </c>
    </row>
    <row r="69" spans="1:48">
      <c r="A69" s="5" t="s">
        <v>37</v>
      </c>
      <c r="B69" s="5" t="s">
        <v>195</v>
      </c>
      <c r="C69" s="5" t="s">
        <v>770</v>
      </c>
      <c r="D69" s="84" t="s">
        <v>400</v>
      </c>
      <c r="E69" s="5" t="s">
        <v>622</v>
      </c>
      <c r="F69" s="76">
        <v>1</v>
      </c>
      <c r="G69" s="25">
        <v>13612</v>
      </c>
      <c r="H69" s="18">
        <f t="shared" si="0"/>
        <v>0</v>
      </c>
      <c r="I69" s="18">
        <f t="shared" si="1"/>
        <v>13612</v>
      </c>
      <c r="J69" s="18">
        <f t="shared" si="2"/>
        <v>13612</v>
      </c>
      <c r="K69" s="18">
        <v>1.6379999999999999E-2</v>
      </c>
      <c r="L69" s="18">
        <f t="shared" si="3"/>
        <v>1.6379999999999999E-2</v>
      </c>
      <c r="M69" s="38" t="s">
        <v>643</v>
      </c>
      <c r="P69" s="43">
        <f t="shared" si="4"/>
        <v>0</v>
      </c>
      <c r="R69" s="43">
        <f t="shared" si="5"/>
        <v>0</v>
      </c>
      <c r="S69" s="43">
        <f t="shared" si="6"/>
        <v>0</v>
      </c>
      <c r="T69" s="43">
        <f t="shared" si="7"/>
        <v>0</v>
      </c>
      <c r="U69" s="43">
        <f t="shared" si="8"/>
        <v>13612</v>
      </c>
      <c r="V69" s="43">
        <f t="shared" si="9"/>
        <v>0</v>
      </c>
      <c r="W69" s="43">
        <f t="shared" si="10"/>
        <v>0</v>
      </c>
      <c r="X69" s="43">
        <f t="shared" si="11"/>
        <v>0</v>
      </c>
      <c r="Y69" s="34" t="s">
        <v>195</v>
      </c>
      <c r="Z69" s="18">
        <f t="shared" si="12"/>
        <v>0</v>
      </c>
      <c r="AA69" s="18">
        <f t="shared" si="13"/>
        <v>0</v>
      </c>
      <c r="AB69" s="18">
        <f t="shared" si="14"/>
        <v>13612</v>
      </c>
      <c r="AD69" s="43">
        <v>21</v>
      </c>
      <c r="AE69" s="43">
        <f t="shared" si="15"/>
        <v>0</v>
      </c>
      <c r="AF69" s="43">
        <f t="shared" si="16"/>
        <v>13612</v>
      </c>
      <c r="AG69" s="38" t="s">
        <v>13</v>
      </c>
      <c r="AM69" s="43">
        <f t="shared" si="17"/>
        <v>0</v>
      </c>
      <c r="AN69" s="43">
        <f t="shared" si="18"/>
        <v>13612</v>
      </c>
      <c r="AO69" s="44" t="s">
        <v>664</v>
      </c>
      <c r="AP69" s="44" t="s">
        <v>685</v>
      </c>
      <c r="AQ69" s="34" t="s">
        <v>711</v>
      </c>
      <c r="AS69" s="43">
        <f t="shared" si="19"/>
        <v>13612</v>
      </c>
      <c r="AT69" s="43">
        <f t="shared" si="20"/>
        <v>13612</v>
      </c>
      <c r="AU69" s="43">
        <v>0</v>
      </c>
      <c r="AV69" s="43">
        <f t="shared" si="21"/>
        <v>1.6379999999999999E-2</v>
      </c>
    </row>
    <row r="70" spans="1:48">
      <c r="A70" s="5" t="s">
        <v>38</v>
      </c>
      <c r="B70" s="5" t="s">
        <v>195</v>
      </c>
      <c r="C70" s="5" t="s">
        <v>771</v>
      </c>
      <c r="D70" s="84" t="s">
        <v>769</v>
      </c>
      <c r="E70" s="5" t="s">
        <v>622</v>
      </c>
      <c r="F70" s="76">
        <v>1</v>
      </c>
      <c r="G70" s="25">
        <v>24581</v>
      </c>
      <c r="H70" s="18">
        <f t="shared" si="0"/>
        <v>0</v>
      </c>
      <c r="I70" s="18">
        <f t="shared" si="1"/>
        <v>24581</v>
      </c>
      <c r="J70" s="18">
        <f t="shared" si="2"/>
        <v>24581</v>
      </c>
      <c r="K70" s="18">
        <v>1.6379999999999999E-2</v>
      </c>
      <c r="L70" s="18">
        <f t="shared" si="3"/>
        <v>1.6379999999999999E-2</v>
      </c>
      <c r="M70" s="38" t="s">
        <v>643</v>
      </c>
      <c r="P70" s="43">
        <f t="shared" si="4"/>
        <v>0</v>
      </c>
      <c r="R70" s="43">
        <f t="shared" si="5"/>
        <v>0</v>
      </c>
      <c r="S70" s="43">
        <f t="shared" si="6"/>
        <v>0</v>
      </c>
      <c r="T70" s="43">
        <f t="shared" si="7"/>
        <v>0</v>
      </c>
      <c r="U70" s="43">
        <f t="shared" si="8"/>
        <v>24581</v>
      </c>
      <c r="V70" s="43">
        <f t="shared" si="9"/>
        <v>0</v>
      </c>
      <c r="W70" s="43">
        <f t="shared" si="10"/>
        <v>0</v>
      </c>
      <c r="X70" s="43">
        <f t="shared" si="11"/>
        <v>0</v>
      </c>
      <c r="Y70" s="34" t="s">
        <v>195</v>
      </c>
      <c r="Z70" s="18">
        <f t="shared" si="12"/>
        <v>0</v>
      </c>
      <c r="AA70" s="18">
        <f t="shared" si="13"/>
        <v>0</v>
      </c>
      <c r="AB70" s="18">
        <f t="shared" si="14"/>
        <v>24581</v>
      </c>
      <c r="AD70" s="43">
        <v>21</v>
      </c>
      <c r="AE70" s="43">
        <f t="shared" si="15"/>
        <v>0</v>
      </c>
      <c r="AF70" s="43">
        <f t="shared" si="16"/>
        <v>24581</v>
      </c>
      <c r="AG70" s="38" t="s">
        <v>13</v>
      </c>
      <c r="AM70" s="43">
        <f t="shared" si="17"/>
        <v>0</v>
      </c>
      <c r="AN70" s="43">
        <f t="shared" si="18"/>
        <v>24581</v>
      </c>
      <c r="AO70" s="44" t="s">
        <v>664</v>
      </c>
      <c r="AP70" s="44" t="s">
        <v>685</v>
      </c>
      <c r="AQ70" s="34" t="s">
        <v>711</v>
      </c>
      <c r="AS70" s="43">
        <f t="shared" si="19"/>
        <v>24581</v>
      </c>
      <c r="AT70" s="43">
        <f t="shared" si="20"/>
        <v>24581</v>
      </c>
      <c r="AU70" s="43">
        <v>0</v>
      </c>
      <c r="AV70" s="43">
        <f t="shared" si="21"/>
        <v>1.6379999999999999E-2</v>
      </c>
    </row>
    <row r="71" spans="1:48" ht="25.5">
      <c r="A71" s="5" t="s">
        <v>39</v>
      </c>
      <c r="B71" s="5" t="s">
        <v>195</v>
      </c>
      <c r="C71" s="5" t="s">
        <v>772</v>
      </c>
      <c r="D71" s="84" t="s">
        <v>401</v>
      </c>
      <c r="E71" s="5" t="s">
        <v>622</v>
      </c>
      <c r="F71" s="76">
        <v>1</v>
      </c>
      <c r="G71" s="25">
        <v>14434</v>
      </c>
      <c r="H71" s="18">
        <f t="shared" si="0"/>
        <v>0</v>
      </c>
      <c r="I71" s="18">
        <f t="shared" si="1"/>
        <v>14434</v>
      </c>
      <c r="J71" s="18">
        <f t="shared" si="2"/>
        <v>14434</v>
      </c>
      <c r="K71" s="18">
        <v>1.6379999999999999E-2</v>
      </c>
      <c r="L71" s="18">
        <f t="shared" si="3"/>
        <v>1.6379999999999999E-2</v>
      </c>
      <c r="M71" s="38" t="s">
        <v>643</v>
      </c>
      <c r="P71" s="43">
        <f t="shared" si="4"/>
        <v>0</v>
      </c>
      <c r="R71" s="43">
        <f t="shared" si="5"/>
        <v>0</v>
      </c>
      <c r="S71" s="43">
        <f t="shared" si="6"/>
        <v>0</v>
      </c>
      <c r="T71" s="43">
        <f t="shared" si="7"/>
        <v>0</v>
      </c>
      <c r="U71" s="43">
        <f t="shared" si="8"/>
        <v>14434</v>
      </c>
      <c r="V71" s="43">
        <f t="shared" si="9"/>
        <v>0</v>
      </c>
      <c r="W71" s="43">
        <f t="shared" si="10"/>
        <v>0</v>
      </c>
      <c r="X71" s="43">
        <f t="shared" si="11"/>
        <v>0</v>
      </c>
      <c r="Y71" s="34" t="s">
        <v>195</v>
      </c>
      <c r="Z71" s="18">
        <f t="shared" si="12"/>
        <v>0</v>
      </c>
      <c r="AA71" s="18">
        <f t="shared" si="13"/>
        <v>0</v>
      </c>
      <c r="AB71" s="18">
        <f t="shared" si="14"/>
        <v>14434</v>
      </c>
      <c r="AD71" s="43">
        <v>21</v>
      </c>
      <c r="AE71" s="43">
        <f t="shared" si="15"/>
        <v>0</v>
      </c>
      <c r="AF71" s="43">
        <f t="shared" si="16"/>
        <v>14434</v>
      </c>
      <c r="AG71" s="38" t="s">
        <v>13</v>
      </c>
      <c r="AM71" s="43">
        <f t="shared" si="17"/>
        <v>0</v>
      </c>
      <c r="AN71" s="43">
        <f t="shared" si="18"/>
        <v>14434</v>
      </c>
      <c r="AO71" s="44" t="s">
        <v>664</v>
      </c>
      <c r="AP71" s="44" t="s">
        <v>685</v>
      </c>
      <c r="AQ71" s="34" t="s">
        <v>711</v>
      </c>
      <c r="AS71" s="43">
        <f t="shared" si="19"/>
        <v>14434</v>
      </c>
      <c r="AT71" s="43">
        <f t="shared" si="20"/>
        <v>14434</v>
      </c>
      <c r="AU71" s="43">
        <v>0</v>
      </c>
      <c r="AV71" s="43">
        <f t="shared" si="21"/>
        <v>1.6379999999999999E-2</v>
      </c>
    </row>
    <row r="72" spans="1:48" ht="25.5">
      <c r="A72" s="5" t="s">
        <v>40</v>
      </c>
      <c r="B72" s="5" t="s">
        <v>195</v>
      </c>
      <c r="C72" s="5" t="s">
        <v>773</v>
      </c>
      <c r="D72" s="84" t="s">
        <v>402</v>
      </c>
      <c r="E72" s="5" t="s">
        <v>622</v>
      </c>
      <c r="F72" s="76">
        <v>3</v>
      </c>
      <c r="G72" s="25">
        <v>12327</v>
      </c>
      <c r="H72" s="18">
        <f t="shared" si="0"/>
        <v>0</v>
      </c>
      <c r="I72" s="18">
        <f t="shared" si="1"/>
        <v>36981</v>
      </c>
      <c r="J72" s="18">
        <f t="shared" si="2"/>
        <v>36981</v>
      </c>
      <c r="K72" s="18">
        <v>1.6379999999999999E-2</v>
      </c>
      <c r="L72" s="18">
        <f t="shared" si="3"/>
        <v>4.9139999999999996E-2</v>
      </c>
      <c r="M72" s="38" t="s">
        <v>643</v>
      </c>
      <c r="P72" s="43">
        <f t="shared" si="4"/>
        <v>0</v>
      </c>
      <c r="R72" s="43">
        <f t="shared" si="5"/>
        <v>0</v>
      </c>
      <c r="S72" s="43">
        <f t="shared" si="6"/>
        <v>0</v>
      </c>
      <c r="T72" s="43">
        <f t="shared" si="7"/>
        <v>0</v>
      </c>
      <c r="U72" s="43">
        <f t="shared" si="8"/>
        <v>36981</v>
      </c>
      <c r="V72" s="43">
        <f t="shared" si="9"/>
        <v>0</v>
      </c>
      <c r="W72" s="43">
        <f t="shared" si="10"/>
        <v>0</v>
      </c>
      <c r="X72" s="43">
        <f t="shared" si="11"/>
        <v>0</v>
      </c>
      <c r="Y72" s="34" t="s">
        <v>195</v>
      </c>
      <c r="Z72" s="18">
        <f t="shared" si="12"/>
        <v>0</v>
      </c>
      <c r="AA72" s="18">
        <f t="shared" si="13"/>
        <v>0</v>
      </c>
      <c r="AB72" s="18">
        <f t="shared" si="14"/>
        <v>36981</v>
      </c>
      <c r="AD72" s="43">
        <v>21</v>
      </c>
      <c r="AE72" s="43">
        <f t="shared" si="15"/>
        <v>0</v>
      </c>
      <c r="AF72" s="43">
        <f t="shared" si="16"/>
        <v>12327</v>
      </c>
      <c r="AG72" s="38" t="s">
        <v>13</v>
      </c>
      <c r="AM72" s="43">
        <f t="shared" si="17"/>
        <v>0</v>
      </c>
      <c r="AN72" s="43">
        <f t="shared" si="18"/>
        <v>36981</v>
      </c>
      <c r="AO72" s="44" t="s">
        <v>664</v>
      </c>
      <c r="AP72" s="44" t="s">
        <v>685</v>
      </c>
      <c r="AQ72" s="34" t="s">
        <v>711</v>
      </c>
      <c r="AS72" s="43">
        <f t="shared" si="19"/>
        <v>36981</v>
      </c>
      <c r="AT72" s="43">
        <f t="shared" si="20"/>
        <v>12327</v>
      </c>
      <c r="AU72" s="43">
        <v>0</v>
      </c>
      <c r="AV72" s="43">
        <f t="shared" si="21"/>
        <v>4.9139999999999996E-2</v>
      </c>
    </row>
    <row r="73" spans="1:48" ht="25.5">
      <c r="A73" s="5" t="s">
        <v>41</v>
      </c>
      <c r="B73" s="5" t="s">
        <v>195</v>
      </c>
      <c r="C73" s="5" t="s">
        <v>774</v>
      </c>
      <c r="D73" s="84" t="s">
        <v>403</v>
      </c>
      <c r="E73" s="5" t="s">
        <v>622</v>
      </c>
      <c r="F73" s="76">
        <v>2</v>
      </c>
      <c r="G73" s="25">
        <v>14370</v>
      </c>
      <c r="H73" s="18">
        <f t="shared" si="0"/>
        <v>0</v>
      </c>
      <c r="I73" s="18">
        <f t="shared" si="1"/>
        <v>28740</v>
      </c>
      <c r="J73" s="18">
        <f t="shared" si="2"/>
        <v>28740</v>
      </c>
      <c r="K73" s="18">
        <v>1.6379999999999999E-2</v>
      </c>
      <c r="L73" s="18">
        <f t="shared" si="3"/>
        <v>3.2759999999999997E-2</v>
      </c>
      <c r="M73" s="38" t="s">
        <v>643</v>
      </c>
      <c r="P73" s="43">
        <f t="shared" si="4"/>
        <v>0</v>
      </c>
      <c r="R73" s="43">
        <f t="shared" si="5"/>
        <v>0</v>
      </c>
      <c r="S73" s="43">
        <f t="shared" si="6"/>
        <v>0</v>
      </c>
      <c r="T73" s="43">
        <f t="shared" si="7"/>
        <v>0</v>
      </c>
      <c r="U73" s="43">
        <f t="shared" si="8"/>
        <v>28740</v>
      </c>
      <c r="V73" s="43">
        <f t="shared" si="9"/>
        <v>0</v>
      </c>
      <c r="W73" s="43">
        <f t="shared" si="10"/>
        <v>0</v>
      </c>
      <c r="X73" s="43">
        <f t="shared" si="11"/>
        <v>0</v>
      </c>
      <c r="Y73" s="34" t="s">
        <v>195</v>
      </c>
      <c r="Z73" s="18">
        <f t="shared" si="12"/>
        <v>0</v>
      </c>
      <c r="AA73" s="18">
        <f t="shared" si="13"/>
        <v>0</v>
      </c>
      <c r="AB73" s="18">
        <f t="shared" si="14"/>
        <v>28740</v>
      </c>
      <c r="AD73" s="43">
        <v>21</v>
      </c>
      <c r="AE73" s="43">
        <f t="shared" si="15"/>
        <v>0</v>
      </c>
      <c r="AF73" s="43">
        <f t="shared" si="16"/>
        <v>14370</v>
      </c>
      <c r="AG73" s="38" t="s">
        <v>13</v>
      </c>
      <c r="AM73" s="43">
        <f t="shared" si="17"/>
        <v>0</v>
      </c>
      <c r="AN73" s="43">
        <f t="shared" si="18"/>
        <v>28740</v>
      </c>
      <c r="AO73" s="44" t="s">
        <v>664</v>
      </c>
      <c r="AP73" s="44" t="s">
        <v>685</v>
      </c>
      <c r="AQ73" s="34" t="s">
        <v>711</v>
      </c>
      <c r="AS73" s="43">
        <f t="shared" si="19"/>
        <v>28740</v>
      </c>
      <c r="AT73" s="43">
        <f t="shared" si="20"/>
        <v>14369.999999999998</v>
      </c>
      <c r="AU73" s="43">
        <v>0</v>
      </c>
      <c r="AV73" s="43">
        <f t="shared" si="21"/>
        <v>3.2759999999999997E-2</v>
      </c>
    </row>
    <row r="74" spans="1:48">
      <c r="A74" s="4"/>
      <c r="B74" s="14" t="s">
        <v>195</v>
      </c>
      <c r="C74" s="14" t="s">
        <v>215</v>
      </c>
      <c r="D74" s="83" t="s">
        <v>369</v>
      </c>
      <c r="E74" s="4" t="s">
        <v>6</v>
      </c>
      <c r="F74" s="4" t="s">
        <v>6</v>
      </c>
      <c r="G74" s="24" t="s">
        <v>6</v>
      </c>
      <c r="H74" s="46">
        <f>SUM(H75:H86)</f>
        <v>734.61274472370201</v>
      </c>
      <c r="I74" s="46">
        <f>SUM(I75:I86)</f>
        <v>5233.491255276298</v>
      </c>
      <c r="J74" s="46">
        <f>H74+I74</f>
        <v>5968.1040000000003</v>
      </c>
      <c r="K74" s="34"/>
      <c r="L74" s="46">
        <f>SUM(L75:L86)</f>
        <v>1.889184E-2</v>
      </c>
      <c r="M74" s="34"/>
      <c r="Y74" s="34" t="s">
        <v>195</v>
      </c>
      <c r="AI74" s="46">
        <f>SUM(Z75:Z86)</f>
        <v>0</v>
      </c>
      <c r="AJ74" s="46">
        <f>SUM(AA75:AA86)</f>
        <v>0</v>
      </c>
      <c r="AK74" s="46">
        <f>SUM(AB75:AB86)</f>
        <v>5968.1040000000003</v>
      </c>
    </row>
    <row r="75" spans="1:48">
      <c r="A75" s="5" t="s">
        <v>42</v>
      </c>
      <c r="B75" s="5" t="s">
        <v>195</v>
      </c>
      <c r="C75" s="5" t="s">
        <v>236</v>
      </c>
      <c r="D75" s="84" t="s">
        <v>404</v>
      </c>
      <c r="E75" s="5" t="s">
        <v>620</v>
      </c>
      <c r="F75" s="76">
        <v>85.872</v>
      </c>
      <c r="G75" s="25">
        <v>18.600000000000001</v>
      </c>
      <c r="H75" s="18">
        <f>F75*AE75</f>
        <v>324.46768256719946</v>
      </c>
      <c r="I75" s="18">
        <f>J75-H75</f>
        <v>1272.7515174328007</v>
      </c>
      <c r="J75" s="18">
        <f>F75*G75</f>
        <v>1597.2192000000002</v>
      </c>
      <c r="K75" s="18">
        <v>6.9999999999999994E-5</v>
      </c>
      <c r="L75" s="18">
        <f>F75*K75</f>
        <v>6.0110399999999996E-3</v>
      </c>
      <c r="M75" s="38" t="s">
        <v>644</v>
      </c>
      <c r="P75" s="43">
        <f>IF(AG75="5",J75,0)</f>
        <v>0</v>
      </c>
      <c r="R75" s="43">
        <f>IF(AG75="1",H75,0)</f>
        <v>0</v>
      </c>
      <c r="S75" s="43">
        <f>IF(AG75="1",I75,0)</f>
        <v>0</v>
      </c>
      <c r="T75" s="43">
        <f>IF(AG75="7",H75,0)</f>
        <v>324.46768256719946</v>
      </c>
      <c r="U75" s="43">
        <f>IF(AG75="7",I75,0)</f>
        <v>1272.7515174328007</v>
      </c>
      <c r="V75" s="43">
        <f>IF(AG75="2",H75,0)</f>
        <v>0</v>
      </c>
      <c r="W75" s="43">
        <f>IF(AG75="2",I75,0)</f>
        <v>0</v>
      </c>
      <c r="X75" s="43">
        <f>IF(AG75="0",J75,0)</f>
        <v>0</v>
      </c>
      <c r="Y75" s="34" t="s">
        <v>195</v>
      </c>
      <c r="Z75" s="18">
        <f>IF(AD75=0,J75,0)</f>
        <v>0</v>
      </c>
      <c r="AA75" s="18">
        <f>IF(AD75=15,J75,0)</f>
        <v>0</v>
      </c>
      <c r="AB75" s="18">
        <f>IF(AD75=21,J75,0)</f>
        <v>1597.2192000000002</v>
      </c>
      <c r="AD75" s="43">
        <v>21</v>
      </c>
      <c r="AE75" s="43">
        <f>G75*0.203145368254526</f>
        <v>3.7785038495341841</v>
      </c>
      <c r="AF75" s="43">
        <f>G75*(1-0.203145368254526)</f>
        <v>14.821496150465817</v>
      </c>
      <c r="AG75" s="38" t="s">
        <v>13</v>
      </c>
      <c r="AM75" s="43">
        <f>F75*AE75</f>
        <v>324.46768256719946</v>
      </c>
      <c r="AN75" s="43">
        <f>F75*AF75</f>
        <v>1272.7515174328007</v>
      </c>
      <c r="AO75" s="44" t="s">
        <v>660</v>
      </c>
      <c r="AP75" s="44" t="s">
        <v>686</v>
      </c>
      <c r="AQ75" s="34" t="s">
        <v>711</v>
      </c>
      <c r="AS75" s="43">
        <f>AM75+AN75</f>
        <v>1597.2192000000002</v>
      </c>
      <c r="AT75" s="43">
        <f>G75/(100-AU75)*100</f>
        <v>18.600000000000001</v>
      </c>
      <c r="AU75" s="43">
        <v>0</v>
      </c>
      <c r="AV75" s="43">
        <f>L75</f>
        <v>6.0110399999999996E-3</v>
      </c>
    </row>
    <row r="76" spans="1:48">
      <c r="D76" s="85" t="s">
        <v>405</v>
      </c>
      <c r="F76" s="77">
        <v>17.64</v>
      </c>
      <c r="G76" s="26"/>
    </row>
    <row r="77" spans="1:48">
      <c r="D77" s="85" t="s">
        <v>406</v>
      </c>
      <c r="F77" s="77">
        <v>42.84</v>
      </c>
      <c r="G77" s="26"/>
    </row>
    <row r="78" spans="1:48">
      <c r="D78" s="85" t="s">
        <v>407</v>
      </c>
      <c r="F78" s="77">
        <v>3.6339999999999999</v>
      </c>
      <c r="G78" s="26"/>
    </row>
    <row r="79" spans="1:48">
      <c r="D79" s="85" t="s">
        <v>408</v>
      </c>
      <c r="F79" s="77">
        <v>10.472</v>
      </c>
      <c r="G79" s="26"/>
    </row>
    <row r="80" spans="1:48">
      <c r="D80" s="85" t="s">
        <v>409</v>
      </c>
      <c r="F80" s="77">
        <v>2.6880000000000002</v>
      </c>
      <c r="G80" s="26"/>
    </row>
    <row r="81" spans="1:48">
      <c r="D81" s="85" t="s">
        <v>410</v>
      </c>
      <c r="F81" s="77">
        <v>5.04</v>
      </c>
      <c r="G81" s="26"/>
    </row>
    <row r="82" spans="1:48">
      <c r="D82" s="85" t="s">
        <v>411</v>
      </c>
      <c r="F82" s="77">
        <v>0.33</v>
      </c>
      <c r="G82" s="26"/>
    </row>
    <row r="83" spans="1:48">
      <c r="D83" s="85" t="s">
        <v>412</v>
      </c>
      <c r="F83" s="77">
        <v>1.327</v>
      </c>
      <c r="G83" s="26"/>
    </row>
    <row r="84" spans="1:48">
      <c r="D84" s="85" t="s">
        <v>413</v>
      </c>
      <c r="F84" s="77">
        <v>0.57399999999999995</v>
      </c>
      <c r="G84" s="26"/>
    </row>
    <row r="85" spans="1:48">
      <c r="D85" s="85" t="s">
        <v>412</v>
      </c>
      <c r="F85" s="77">
        <v>1.327</v>
      </c>
      <c r="G85" s="26"/>
    </row>
    <row r="86" spans="1:48">
      <c r="A86" s="5" t="s">
        <v>43</v>
      </c>
      <c r="B86" s="5" t="s">
        <v>195</v>
      </c>
      <c r="C86" s="5" t="s">
        <v>237</v>
      </c>
      <c r="D86" s="84" t="s">
        <v>414</v>
      </c>
      <c r="E86" s="5" t="s">
        <v>620</v>
      </c>
      <c r="F86" s="76">
        <v>85.872</v>
      </c>
      <c r="G86" s="25">
        <v>50.9</v>
      </c>
      <c r="H86" s="18">
        <f>F86*AE86</f>
        <v>410.14506215650249</v>
      </c>
      <c r="I86" s="18">
        <f>J86-H86</f>
        <v>3960.7397378434971</v>
      </c>
      <c r="J86" s="18">
        <f>F86*G86</f>
        <v>4370.8847999999998</v>
      </c>
      <c r="K86" s="18">
        <v>1.4999999999999999E-4</v>
      </c>
      <c r="L86" s="18">
        <f>F86*K86</f>
        <v>1.28808E-2</v>
      </c>
      <c r="M86" s="38" t="s">
        <v>644</v>
      </c>
      <c r="P86" s="43">
        <f>IF(AG86="5",J86,0)</f>
        <v>0</v>
      </c>
      <c r="R86" s="43">
        <f>IF(AG86="1",H86,0)</f>
        <v>0</v>
      </c>
      <c r="S86" s="43">
        <f>IF(AG86="1",I86,0)</f>
        <v>0</v>
      </c>
      <c r="T86" s="43">
        <f>IF(AG86="7",H86,0)</f>
        <v>410.14506215650249</v>
      </c>
      <c r="U86" s="43">
        <f>IF(AG86="7",I86,0)</f>
        <v>3960.7397378434971</v>
      </c>
      <c r="V86" s="43">
        <f>IF(AG86="2",H86,0)</f>
        <v>0</v>
      </c>
      <c r="W86" s="43">
        <f>IF(AG86="2",I86,0)</f>
        <v>0</v>
      </c>
      <c r="X86" s="43">
        <f>IF(AG86="0",J86,0)</f>
        <v>0</v>
      </c>
      <c r="Y86" s="34" t="s">
        <v>195</v>
      </c>
      <c r="Z86" s="18">
        <f>IF(AD86=0,J86,0)</f>
        <v>0</v>
      </c>
      <c r="AA86" s="18">
        <f>IF(AD86=15,J86,0)</f>
        <v>0</v>
      </c>
      <c r="AB86" s="18">
        <f>IF(AD86=21,J86,0)</f>
        <v>4370.8847999999998</v>
      </c>
      <c r="AD86" s="43">
        <v>21</v>
      </c>
      <c r="AE86" s="43">
        <f>G86*0.0938357062525424</f>
        <v>4.7762374482544079</v>
      </c>
      <c r="AF86" s="43">
        <f>G86*(1-0.0938357062525424)</f>
        <v>46.123762551745592</v>
      </c>
      <c r="AG86" s="38" t="s">
        <v>13</v>
      </c>
      <c r="AM86" s="43">
        <f>F86*AE86</f>
        <v>410.14506215650249</v>
      </c>
      <c r="AN86" s="43">
        <f>F86*AF86</f>
        <v>3960.7397378434976</v>
      </c>
      <c r="AO86" s="44" t="s">
        <v>660</v>
      </c>
      <c r="AP86" s="44" t="s">
        <v>686</v>
      </c>
      <c r="AQ86" s="34" t="s">
        <v>711</v>
      </c>
      <c r="AS86" s="43">
        <f>AM86+AN86</f>
        <v>4370.8847999999998</v>
      </c>
      <c r="AT86" s="43">
        <f>G86/(100-AU86)*100</f>
        <v>50.9</v>
      </c>
      <c r="AU86" s="43">
        <v>0</v>
      </c>
      <c r="AV86" s="43">
        <f>L86</f>
        <v>1.28808E-2</v>
      </c>
    </row>
    <row r="87" spans="1:48">
      <c r="D87" s="85" t="s">
        <v>415</v>
      </c>
      <c r="F87" s="77">
        <v>85.872</v>
      </c>
      <c r="G87" s="26"/>
    </row>
    <row r="88" spans="1:48">
      <c r="A88" s="4"/>
      <c r="B88" s="14" t="s">
        <v>195</v>
      </c>
      <c r="C88" s="14" t="s">
        <v>102</v>
      </c>
      <c r="D88" s="83" t="s">
        <v>416</v>
      </c>
      <c r="E88" s="4" t="s">
        <v>6</v>
      </c>
      <c r="F88" s="4" t="s">
        <v>6</v>
      </c>
      <c r="G88" s="24" t="s">
        <v>6</v>
      </c>
      <c r="H88" s="46">
        <f>SUM(H89:H102)</f>
        <v>6370.6340212674659</v>
      </c>
      <c r="I88" s="46">
        <f>SUM(I89:I102)</f>
        <v>41385.384978732531</v>
      </c>
      <c r="J88" s="46">
        <f>H88+I88</f>
        <v>47756.019</v>
      </c>
      <c r="K88" s="34"/>
      <c r="L88" s="46">
        <f>SUM(L89:L102)</f>
        <v>5.4905340199999992</v>
      </c>
      <c r="M88" s="34"/>
      <c r="Y88" s="34" t="s">
        <v>195</v>
      </c>
      <c r="AI88" s="46">
        <f>SUM(Z89:Z102)</f>
        <v>0</v>
      </c>
      <c r="AJ88" s="46">
        <f>SUM(AA89:AA102)</f>
        <v>0</v>
      </c>
      <c r="AK88" s="46">
        <f>SUM(AB89:AB102)</f>
        <v>47756.019</v>
      </c>
    </row>
    <row r="89" spans="1:48">
      <c r="A89" s="5" t="s">
        <v>44</v>
      </c>
      <c r="B89" s="5" t="s">
        <v>195</v>
      </c>
      <c r="C89" s="5" t="s">
        <v>238</v>
      </c>
      <c r="D89" s="84" t="s">
        <v>417</v>
      </c>
      <c r="E89" s="5" t="s">
        <v>622</v>
      </c>
      <c r="F89" s="76">
        <v>66</v>
      </c>
      <c r="G89" s="25">
        <v>30.8</v>
      </c>
      <c r="H89" s="18">
        <f>F89*AE89</f>
        <v>0</v>
      </c>
      <c r="I89" s="18">
        <f>J89-H89</f>
        <v>2032.8</v>
      </c>
      <c r="J89" s="18">
        <f>F89*G89</f>
        <v>2032.8</v>
      </c>
      <c r="K89" s="18">
        <v>0</v>
      </c>
      <c r="L89" s="18">
        <f>F89*K89</f>
        <v>0</v>
      </c>
      <c r="M89" s="38" t="s">
        <v>643</v>
      </c>
      <c r="P89" s="43">
        <f>IF(AG89="5",J89,0)</f>
        <v>0</v>
      </c>
      <c r="R89" s="43">
        <f>IF(AG89="1",H89,0)</f>
        <v>0</v>
      </c>
      <c r="S89" s="43">
        <f>IF(AG89="1",I89,0)</f>
        <v>2032.8</v>
      </c>
      <c r="T89" s="43">
        <f>IF(AG89="7",H89,0)</f>
        <v>0</v>
      </c>
      <c r="U89" s="43">
        <f>IF(AG89="7",I89,0)</f>
        <v>0</v>
      </c>
      <c r="V89" s="43">
        <f>IF(AG89="2",H89,0)</f>
        <v>0</v>
      </c>
      <c r="W89" s="43">
        <f>IF(AG89="2",I89,0)</f>
        <v>0</v>
      </c>
      <c r="X89" s="43">
        <f>IF(AG89="0",J89,0)</f>
        <v>0</v>
      </c>
      <c r="Y89" s="34" t="s">
        <v>195</v>
      </c>
      <c r="Z89" s="18">
        <f>IF(AD89=0,J89,0)</f>
        <v>0</v>
      </c>
      <c r="AA89" s="18">
        <f>IF(AD89=15,J89,0)</f>
        <v>0</v>
      </c>
      <c r="AB89" s="18">
        <f>IF(AD89=21,J89,0)</f>
        <v>2032.8</v>
      </c>
      <c r="AD89" s="43">
        <v>21</v>
      </c>
      <c r="AE89" s="43">
        <f>G89*0</f>
        <v>0</v>
      </c>
      <c r="AF89" s="43">
        <f>G89*(1-0)</f>
        <v>30.8</v>
      </c>
      <c r="AG89" s="38" t="s">
        <v>7</v>
      </c>
      <c r="AM89" s="43">
        <f>F89*AE89</f>
        <v>0</v>
      </c>
      <c r="AN89" s="43">
        <f>F89*AF89</f>
        <v>2032.8</v>
      </c>
      <c r="AO89" s="44" t="s">
        <v>665</v>
      </c>
      <c r="AP89" s="44" t="s">
        <v>687</v>
      </c>
      <c r="AQ89" s="34" t="s">
        <v>711</v>
      </c>
      <c r="AS89" s="43">
        <f>AM89+AN89</f>
        <v>2032.8</v>
      </c>
      <c r="AT89" s="43">
        <f>G89/(100-AU89)*100</f>
        <v>30.8</v>
      </c>
      <c r="AU89" s="43">
        <v>0</v>
      </c>
      <c r="AV89" s="43">
        <f>L89</f>
        <v>0</v>
      </c>
    </row>
    <row r="90" spans="1:48">
      <c r="D90" s="85" t="s">
        <v>418</v>
      </c>
      <c r="F90" s="77">
        <v>66</v>
      </c>
      <c r="G90" s="26"/>
    </row>
    <row r="91" spans="1:48">
      <c r="A91" s="5" t="s">
        <v>45</v>
      </c>
      <c r="B91" s="5" t="s">
        <v>195</v>
      </c>
      <c r="C91" s="5" t="s">
        <v>239</v>
      </c>
      <c r="D91" s="84" t="s">
        <v>419</v>
      </c>
      <c r="E91" s="5" t="s">
        <v>622</v>
      </c>
      <c r="F91" s="76">
        <v>2</v>
      </c>
      <c r="G91" s="25">
        <v>20.5</v>
      </c>
      <c r="H91" s="18">
        <f>F91*AE91</f>
        <v>0</v>
      </c>
      <c r="I91" s="18">
        <f>J91-H91</f>
        <v>41</v>
      </c>
      <c r="J91" s="18">
        <f>F91*G91</f>
        <v>41</v>
      </c>
      <c r="K91" s="18">
        <v>0</v>
      </c>
      <c r="L91" s="18">
        <f>F91*K91</f>
        <v>0</v>
      </c>
      <c r="M91" s="38" t="s">
        <v>643</v>
      </c>
      <c r="P91" s="43">
        <f>IF(AG91="5",J91,0)</f>
        <v>0</v>
      </c>
      <c r="R91" s="43">
        <f>IF(AG91="1",H91,0)</f>
        <v>0</v>
      </c>
      <c r="S91" s="43">
        <f>IF(AG91="1",I91,0)</f>
        <v>41</v>
      </c>
      <c r="T91" s="43">
        <f>IF(AG91="7",H91,0)</f>
        <v>0</v>
      </c>
      <c r="U91" s="43">
        <f>IF(AG91="7",I91,0)</f>
        <v>0</v>
      </c>
      <c r="V91" s="43">
        <f>IF(AG91="2",H91,0)</f>
        <v>0</v>
      </c>
      <c r="W91" s="43">
        <f>IF(AG91="2",I91,0)</f>
        <v>0</v>
      </c>
      <c r="X91" s="43">
        <f>IF(AG91="0",J91,0)</f>
        <v>0</v>
      </c>
      <c r="Y91" s="34" t="s">
        <v>195</v>
      </c>
      <c r="Z91" s="18">
        <f>IF(AD91=0,J91,0)</f>
        <v>0</v>
      </c>
      <c r="AA91" s="18">
        <f>IF(AD91=15,J91,0)</f>
        <v>0</v>
      </c>
      <c r="AB91" s="18">
        <f>IF(AD91=21,J91,0)</f>
        <v>41</v>
      </c>
      <c r="AD91" s="43">
        <v>21</v>
      </c>
      <c r="AE91" s="43">
        <f>G91*0</f>
        <v>0</v>
      </c>
      <c r="AF91" s="43">
        <f>G91*(1-0)</f>
        <v>20.5</v>
      </c>
      <c r="AG91" s="38" t="s">
        <v>7</v>
      </c>
      <c r="AM91" s="43">
        <f>F91*AE91</f>
        <v>0</v>
      </c>
      <c r="AN91" s="43">
        <f>F91*AF91</f>
        <v>41</v>
      </c>
      <c r="AO91" s="44" t="s">
        <v>665</v>
      </c>
      <c r="AP91" s="44" t="s">
        <v>687</v>
      </c>
      <c r="AQ91" s="34" t="s">
        <v>711</v>
      </c>
      <c r="AS91" s="43">
        <f>AM91+AN91</f>
        <v>41</v>
      </c>
      <c r="AT91" s="43">
        <f>G91/(100-AU91)*100</f>
        <v>20.5</v>
      </c>
      <c r="AU91" s="43">
        <v>0</v>
      </c>
      <c r="AV91" s="43">
        <f>L91</f>
        <v>0</v>
      </c>
    </row>
    <row r="92" spans="1:48">
      <c r="D92" s="85" t="s">
        <v>420</v>
      </c>
      <c r="F92" s="77">
        <v>2</v>
      </c>
      <c r="G92" s="26"/>
    </row>
    <row r="93" spans="1:48">
      <c r="A93" s="5" t="s">
        <v>46</v>
      </c>
      <c r="B93" s="5" t="s">
        <v>195</v>
      </c>
      <c r="C93" s="5" t="s">
        <v>240</v>
      </c>
      <c r="D93" s="84" t="s">
        <v>421</v>
      </c>
      <c r="E93" s="5" t="s">
        <v>620</v>
      </c>
      <c r="F93" s="76">
        <v>2.8919999999999999</v>
      </c>
      <c r="G93" s="25">
        <v>214</v>
      </c>
      <c r="H93" s="18">
        <f>F93*AE93</f>
        <v>103.5923298461536</v>
      </c>
      <c r="I93" s="18">
        <f>J93-H93</f>
        <v>515.29567015384646</v>
      </c>
      <c r="J93" s="18">
        <f>F93*G93</f>
        <v>618.88800000000003</v>
      </c>
      <c r="K93" s="18">
        <v>4.2369999999999998E-2</v>
      </c>
      <c r="L93" s="18">
        <f>F93*K93</f>
        <v>0.12253404</v>
      </c>
      <c r="M93" s="38" t="s">
        <v>643</v>
      </c>
      <c r="P93" s="43">
        <f>IF(AG93="5",J93,0)</f>
        <v>0</v>
      </c>
      <c r="R93" s="43">
        <f>IF(AG93="1",H93,0)</f>
        <v>103.5923298461536</v>
      </c>
      <c r="S93" s="43">
        <f>IF(AG93="1",I93,0)</f>
        <v>515.29567015384646</v>
      </c>
      <c r="T93" s="43">
        <f>IF(AG93="7",H93,0)</f>
        <v>0</v>
      </c>
      <c r="U93" s="43">
        <f>IF(AG93="7",I93,0)</f>
        <v>0</v>
      </c>
      <c r="V93" s="43">
        <f>IF(AG93="2",H93,0)</f>
        <v>0</v>
      </c>
      <c r="W93" s="43">
        <f>IF(AG93="2",I93,0)</f>
        <v>0</v>
      </c>
      <c r="X93" s="43">
        <f>IF(AG93="0",J93,0)</f>
        <v>0</v>
      </c>
      <c r="Y93" s="34" t="s">
        <v>195</v>
      </c>
      <c r="Z93" s="18">
        <f>IF(AD93=0,J93,0)</f>
        <v>0</v>
      </c>
      <c r="AA93" s="18">
        <f>IF(AD93=15,J93,0)</f>
        <v>0</v>
      </c>
      <c r="AB93" s="18">
        <f>IF(AD93=21,J93,0)</f>
        <v>618.88800000000003</v>
      </c>
      <c r="AD93" s="43">
        <v>21</v>
      </c>
      <c r="AE93" s="43">
        <f>G93*0.167384615384615</f>
        <v>35.820307692307608</v>
      </c>
      <c r="AF93" s="43">
        <f>G93*(1-0.167384615384615)</f>
        <v>178.17969230769239</v>
      </c>
      <c r="AG93" s="38" t="s">
        <v>7</v>
      </c>
      <c r="AM93" s="43">
        <f>F93*AE93</f>
        <v>103.5923298461536</v>
      </c>
      <c r="AN93" s="43">
        <f>F93*AF93</f>
        <v>515.29567015384634</v>
      </c>
      <c r="AO93" s="44" t="s">
        <v>665</v>
      </c>
      <c r="AP93" s="44" t="s">
        <v>687</v>
      </c>
      <c r="AQ93" s="34" t="s">
        <v>711</v>
      </c>
      <c r="AS93" s="43">
        <f>AM93+AN93</f>
        <v>618.88799999999992</v>
      </c>
      <c r="AT93" s="43">
        <f>G93/(100-AU93)*100</f>
        <v>214</v>
      </c>
      <c r="AU93" s="43">
        <v>0</v>
      </c>
      <c r="AV93" s="43">
        <f>L93</f>
        <v>0.12253404</v>
      </c>
    </row>
    <row r="94" spans="1:48">
      <c r="D94" s="85" t="s">
        <v>422</v>
      </c>
      <c r="F94" s="77">
        <v>2.8919999999999999</v>
      </c>
      <c r="G94" s="26"/>
    </row>
    <row r="95" spans="1:48">
      <c r="A95" s="5" t="s">
        <v>47</v>
      </c>
      <c r="B95" s="5" t="s">
        <v>195</v>
      </c>
      <c r="C95" s="5" t="s">
        <v>241</v>
      </c>
      <c r="D95" s="84" t="s">
        <v>423</v>
      </c>
      <c r="E95" s="5" t="s">
        <v>620</v>
      </c>
      <c r="F95" s="76">
        <v>153.74199999999999</v>
      </c>
      <c r="G95" s="25">
        <v>130.5</v>
      </c>
      <c r="H95" s="18">
        <f>F95*AE95</f>
        <v>2790.2416914213122</v>
      </c>
      <c r="I95" s="18">
        <f>J95-H95</f>
        <v>17273.089308578685</v>
      </c>
      <c r="J95" s="18">
        <f>F95*G95</f>
        <v>20063.330999999998</v>
      </c>
      <c r="K95" s="18">
        <v>3.4689999999999999E-2</v>
      </c>
      <c r="L95" s="18">
        <f>F95*K95</f>
        <v>5.3333099799999992</v>
      </c>
      <c r="M95" s="38" t="s">
        <v>643</v>
      </c>
      <c r="P95" s="43">
        <f>IF(AG95="5",J95,0)</f>
        <v>0</v>
      </c>
      <c r="R95" s="43">
        <f>IF(AG95="1",H95,0)</f>
        <v>2790.2416914213122</v>
      </c>
      <c r="S95" s="43">
        <f>IF(AG95="1",I95,0)</f>
        <v>17273.089308578685</v>
      </c>
      <c r="T95" s="43">
        <f>IF(AG95="7",H95,0)</f>
        <v>0</v>
      </c>
      <c r="U95" s="43">
        <f>IF(AG95="7",I95,0)</f>
        <v>0</v>
      </c>
      <c r="V95" s="43">
        <f>IF(AG95="2",H95,0)</f>
        <v>0</v>
      </c>
      <c r="W95" s="43">
        <f>IF(AG95="2",I95,0)</f>
        <v>0</v>
      </c>
      <c r="X95" s="43">
        <f>IF(AG95="0",J95,0)</f>
        <v>0</v>
      </c>
      <c r="Y95" s="34" t="s">
        <v>195</v>
      </c>
      <c r="Z95" s="18">
        <f>IF(AD95=0,J95,0)</f>
        <v>0</v>
      </c>
      <c r="AA95" s="18">
        <f>IF(AD95=15,J95,0)</f>
        <v>0</v>
      </c>
      <c r="AB95" s="18">
        <f>IF(AD95=21,J95,0)</f>
        <v>20063.330999999998</v>
      </c>
      <c r="AD95" s="43">
        <v>21</v>
      </c>
      <c r="AE95" s="43">
        <f>G95*0.139071707057084</f>
        <v>18.148857770949462</v>
      </c>
      <c r="AF95" s="43">
        <f>G95*(1-0.139071707057084)</f>
        <v>112.35114222905055</v>
      </c>
      <c r="AG95" s="38" t="s">
        <v>7</v>
      </c>
      <c r="AM95" s="43">
        <f>F95*AE95</f>
        <v>2790.2416914213122</v>
      </c>
      <c r="AN95" s="43">
        <f>F95*AF95</f>
        <v>17273.089308578688</v>
      </c>
      <c r="AO95" s="44" t="s">
        <v>665</v>
      </c>
      <c r="AP95" s="44" t="s">
        <v>687</v>
      </c>
      <c r="AQ95" s="34" t="s">
        <v>711</v>
      </c>
      <c r="AS95" s="43">
        <f>AM95+AN95</f>
        <v>20063.331000000002</v>
      </c>
      <c r="AT95" s="43">
        <f>G95/(100-AU95)*100</f>
        <v>130.5</v>
      </c>
      <c r="AU95" s="43">
        <v>0</v>
      </c>
      <c r="AV95" s="43">
        <f>L95</f>
        <v>5.3333099799999992</v>
      </c>
    </row>
    <row r="96" spans="1:48">
      <c r="D96" s="85" t="s">
        <v>424</v>
      </c>
      <c r="F96" s="77">
        <v>23.8</v>
      </c>
      <c r="G96" s="26"/>
    </row>
    <row r="97" spans="1:48">
      <c r="D97" s="85" t="s">
        <v>425</v>
      </c>
      <c r="F97" s="77">
        <v>64.260000000000005</v>
      </c>
      <c r="G97" s="26"/>
    </row>
    <row r="98" spans="1:48">
      <c r="D98" s="85" t="s">
        <v>426</v>
      </c>
      <c r="F98" s="77">
        <v>40.46</v>
      </c>
      <c r="G98" s="26"/>
    </row>
    <row r="99" spans="1:48">
      <c r="D99" s="85" t="s">
        <v>427</v>
      </c>
      <c r="F99" s="77">
        <v>16.047999999999998</v>
      </c>
      <c r="G99" s="26"/>
    </row>
    <row r="100" spans="1:48">
      <c r="D100" s="85" t="s">
        <v>428</v>
      </c>
      <c r="F100" s="77">
        <v>2.4990000000000001</v>
      </c>
      <c r="G100" s="26"/>
    </row>
    <row r="101" spans="1:48">
      <c r="D101" s="85" t="s">
        <v>429</v>
      </c>
      <c r="F101" s="77">
        <v>6.6749999999999998</v>
      </c>
      <c r="G101" s="26"/>
    </row>
    <row r="102" spans="1:48">
      <c r="A102" s="5" t="s">
        <v>48</v>
      </c>
      <c r="B102" s="5" t="s">
        <v>195</v>
      </c>
      <c r="C102" s="5" t="s">
        <v>242</v>
      </c>
      <c r="D102" s="84" t="s">
        <v>430</v>
      </c>
      <c r="E102" s="5" t="s">
        <v>623</v>
      </c>
      <c r="F102" s="76">
        <v>1</v>
      </c>
      <c r="G102" s="25">
        <v>25000</v>
      </c>
      <c r="H102" s="18">
        <f>F102*AE102</f>
        <v>3476.8</v>
      </c>
      <c r="I102" s="18">
        <f>J102-H102</f>
        <v>21523.200000000001</v>
      </c>
      <c r="J102" s="18">
        <f>F102*G102</f>
        <v>25000</v>
      </c>
      <c r="K102" s="18">
        <v>3.4689999999999999E-2</v>
      </c>
      <c r="L102" s="18">
        <f>F102*K102</f>
        <v>3.4689999999999999E-2</v>
      </c>
      <c r="M102" s="38" t="s">
        <v>643</v>
      </c>
      <c r="P102" s="43">
        <f>IF(AG102="5",J102,0)</f>
        <v>0</v>
      </c>
      <c r="R102" s="43">
        <f>IF(AG102="1",H102,0)</f>
        <v>3476.8</v>
      </c>
      <c r="S102" s="43">
        <f>IF(AG102="1",I102,0)</f>
        <v>21523.200000000001</v>
      </c>
      <c r="T102" s="43">
        <f>IF(AG102="7",H102,0)</f>
        <v>0</v>
      </c>
      <c r="U102" s="43">
        <f>IF(AG102="7",I102,0)</f>
        <v>0</v>
      </c>
      <c r="V102" s="43">
        <f>IF(AG102="2",H102,0)</f>
        <v>0</v>
      </c>
      <c r="W102" s="43">
        <f>IF(AG102="2",I102,0)</f>
        <v>0</v>
      </c>
      <c r="X102" s="43">
        <f>IF(AG102="0",J102,0)</f>
        <v>0</v>
      </c>
      <c r="Y102" s="34" t="s">
        <v>195</v>
      </c>
      <c r="Z102" s="18">
        <f>IF(AD102=0,J102,0)</f>
        <v>0</v>
      </c>
      <c r="AA102" s="18">
        <f>IF(AD102=15,J102,0)</f>
        <v>0</v>
      </c>
      <c r="AB102" s="18">
        <f>IF(AD102=21,J102,0)</f>
        <v>25000</v>
      </c>
      <c r="AD102" s="43">
        <v>21</v>
      </c>
      <c r="AE102" s="43">
        <f>G102*0.139072</f>
        <v>3476.8</v>
      </c>
      <c r="AF102" s="43">
        <f>G102*(1-0.139072)</f>
        <v>21523.200000000001</v>
      </c>
      <c r="AG102" s="38" t="s">
        <v>7</v>
      </c>
      <c r="AM102" s="43">
        <f>F102*AE102</f>
        <v>3476.8</v>
      </c>
      <c r="AN102" s="43">
        <f>F102*AF102</f>
        <v>21523.200000000001</v>
      </c>
      <c r="AO102" s="44" t="s">
        <v>665</v>
      </c>
      <c r="AP102" s="44" t="s">
        <v>687</v>
      </c>
      <c r="AQ102" s="34" t="s">
        <v>711</v>
      </c>
      <c r="AS102" s="43">
        <f>AM102+AN102</f>
        <v>25000</v>
      </c>
      <c r="AT102" s="43">
        <f>G102/(100-AU102)*100</f>
        <v>25000</v>
      </c>
      <c r="AU102" s="43">
        <v>0</v>
      </c>
      <c r="AV102" s="43">
        <f>L102</f>
        <v>3.4689999999999999E-2</v>
      </c>
    </row>
    <row r="103" spans="1:48">
      <c r="A103" s="4"/>
      <c r="B103" s="14" t="s">
        <v>195</v>
      </c>
      <c r="C103" s="14" t="s">
        <v>220</v>
      </c>
      <c r="D103" s="83" t="s">
        <v>378</v>
      </c>
      <c r="E103" s="4" t="s">
        <v>6</v>
      </c>
      <c r="F103" s="4" t="s">
        <v>6</v>
      </c>
      <c r="G103" s="24" t="s">
        <v>6</v>
      </c>
      <c r="H103" s="46">
        <f>SUM(H104:H116)</f>
        <v>16.31887929689</v>
      </c>
      <c r="I103" s="46">
        <f>SUM(I104:I116)</f>
        <v>12275.503520703111</v>
      </c>
      <c r="J103" s="46">
        <f>H103+I103</f>
        <v>12291.822400000001</v>
      </c>
      <c r="K103" s="34"/>
      <c r="L103" s="46">
        <f>SUM(L104:L116)</f>
        <v>0</v>
      </c>
      <c r="M103" s="34"/>
      <c r="Y103" s="34" t="s">
        <v>195</v>
      </c>
      <c r="AI103" s="46">
        <f>SUM(Z104:Z116)</f>
        <v>0</v>
      </c>
      <c r="AJ103" s="46">
        <f>SUM(AA104:AA116)</f>
        <v>0</v>
      </c>
      <c r="AK103" s="46">
        <f>SUM(AB104:AB116)</f>
        <v>12291.822400000001</v>
      </c>
    </row>
    <row r="104" spans="1:48">
      <c r="A104" s="5" t="s">
        <v>49</v>
      </c>
      <c r="B104" s="5" t="s">
        <v>195</v>
      </c>
      <c r="C104" s="5" t="s">
        <v>243</v>
      </c>
      <c r="D104" s="84" t="s">
        <v>431</v>
      </c>
      <c r="E104" s="5" t="s">
        <v>621</v>
      </c>
      <c r="F104" s="76">
        <v>5.4560000000000004</v>
      </c>
      <c r="G104" s="25">
        <v>641</v>
      </c>
      <c r="H104" s="18">
        <f>F104*AE104</f>
        <v>0</v>
      </c>
      <c r="I104" s="18">
        <f>J104-H104</f>
        <v>3497.2960000000003</v>
      </c>
      <c r="J104" s="18">
        <f>F104*G104</f>
        <v>3497.2960000000003</v>
      </c>
      <c r="K104" s="18">
        <v>0</v>
      </c>
      <c r="L104" s="18">
        <f>F104*K104</f>
        <v>0</v>
      </c>
      <c r="M104" s="38" t="s">
        <v>643</v>
      </c>
      <c r="P104" s="43">
        <f>IF(AG104="5",J104,0)</f>
        <v>3497.2960000000003</v>
      </c>
      <c r="R104" s="43">
        <f>IF(AG104="1",H104,0)</f>
        <v>0</v>
      </c>
      <c r="S104" s="43">
        <f>IF(AG104="1",I104,0)</f>
        <v>0</v>
      </c>
      <c r="T104" s="43">
        <f>IF(AG104="7",H104,0)</f>
        <v>0</v>
      </c>
      <c r="U104" s="43">
        <f>IF(AG104="7",I104,0)</f>
        <v>0</v>
      </c>
      <c r="V104" s="43">
        <f>IF(AG104="2",H104,0)</f>
        <v>0</v>
      </c>
      <c r="W104" s="43">
        <f>IF(AG104="2",I104,0)</f>
        <v>0</v>
      </c>
      <c r="X104" s="43">
        <f>IF(AG104="0",J104,0)</f>
        <v>0</v>
      </c>
      <c r="Y104" s="34" t="s">
        <v>195</v>
      </c>
      <c r="Z104" s="18">
        <f>IF(AD104=0,J104,0)</f>
        <v>0</v>
      </c>
      <c r="AA104" s="18">
        <f>IF(AD104=15,J104,0)</f>
        <v>0</v>
      </c>
      <c r="AB104" s="18">
        <f>IF(AD104=21,J104,0)</f>
        <v>3497.2960000000003</v>
      </c>
      <c r="AD104" s="43">
        <v>21</v>
      </c>
      <c r="AE104" s="43">
        <f>G104*0</f>
        <v>0</v>
      </c>
      <c r="AF104" s="43">
        <f>G104*(1-0)</f>
        <v>641</v>
      </c>
      <c r="AG104" s="38" t="s">
        <v>11</v>
      </c>
      <c r="AM104" s="43">
        <f>F104*AE104</f>
        <v>0</v>
      </c>
      <c r="AN104" s="43">
        <f>F104*AF104</f>
        <v>3497.2960000000003</v>
      </c>
      <c r="AO104" s="44" t="s">
        <v>662</v>
      </c>
      <c r="AP104" s="44" t="s">
        <v>687</v>
      </c>
      <c r="AQ104" s="34" t="s">
        <v>711</v>
      </c>
      <c r="AS104" s="43">
        <f>AM104+AN104</f>
        <v>3497.2960000000003</v>
      </c>
      <c r="AT104" s="43">
        <f>G104/(100-AU104)*100</f>
        <v>641</v>
      </c>
      <c r="AU104" s="43">
        <v>0</v>
      </c>
      <c r="AV104" s="43">
        <f>L104</f>
        <v>0</v>
      </c>
    </row>
    <row r="105" spans="1:48">
      <c r="D105" s="85" t="s">
        <v>432</v>
      </c>
      <c r="F105" s="77">
        <v>5.4560000000000004</v>
      </c>
      <c r="G105" s="26"/>
    </row>
    <row r="106" spans="1:48">
      <c r="A106" s="5" t="s">
        <v>50</v>
      </c>
      <c r="B106" s="5" t="s">
        <v>195</v>
      </c>
      <c r="C106" s="5" t="s">
        <v>244</v>
      </c>
      <c r="D106" s="84" t="s">
        <v>433</v>
      </c>
      <c r="E106" s="5" t="s">
        <v>621</v>
      </c>
      <c r="F106" s="76">
        <v>2.7280000000000002</v>
      </c>
      <c r="G106" s="25">
        <v>295</v>
      </c>
      <c r="H106" s="18">
        <f>F106*AE106</f>
        <v>0</v>
      </c>
      <c r="I106" s="18">
        <f>J106-H106</f>
        <v>804.7600000000001</v>
      </c>
      <c r="J106" s="18">
        <f>F106*G106</f>
        <v>804.7600000000001</v>
      </c>
      <c r="K106" s="18">
        <v>0</v>
      </c>
      <c r="L106" s="18">
        <f>F106*K106</f>
        <v>0</v>
      </c>
      <c r="M106" s="38" t="s">
        <v>643</v>
      </c>
      <c r="P106" s="43">
        <f>IF(AG106="5",J106,0)</f>
        <v>804.7600000000001</v>
      </c>
      <c r="R106" s="43">
        <f>IF(AG106="1",H106,0)</f>
        <v>0</v>
      </c>
      <c r="S106" s="43">
        <f>IF(AG106="1",I106,0)</f>
        <v>0</v>
      </c>
      <c r="T106" s="43">
        <f>IF(AG106="7",H106,0)</f>
        <v>0</v>
      </c>
      <c r="U106" s="43">
        <f>IF(AG106="7",I106,0)</f>
        <v>0</v>
      </c>
      <c r="V106" s="43">
        <f>IF(AG106="2",H106,0)</f>
        <v>0</v>
      </c>
      <c r="W106" s="43">
        <f>IF(AG106="2",I106,0)</f>
        <v>0</v>
      </c>
      <c r="X106" s="43">
        <f>IF(AG106="0",J106,0)</f>
        <v>0</v>
      </c>
      <c r="Y106" s="34" t="s">
        <v>195</v>
      </c>
      <c r="Z106" s="18">
        <f>IF(AD106=0,J106,0)</f>
        <v>0</v>
      </c>
      <c r="AA106" s="18">
        <f>IF(AD106=15,J106,0)</f>
        <v>0</v>
      </c>
      <c r="AB106" s="18">
        <f>IF(AD106=21,J106,0)</f>
        <v>804.7600000000001</v>
      </c>
      <c r="AD106" s="43">
        <v>21</v>
      </c>
      <c r="AE106" s="43">
        <f>G106*0</f>
        <v>0</v>
      </c>
      <c r="AF106" s="43">
        <f>G106*(1-0)</f>
        <v>295</v>
      </c>
      <c r="AG106" s="38" t="s">
        <v>11</v>
      </c>
      <c r="AM106" s="43">
        <f>F106*AE106</f>
        <v>0</v>
      </c>
      <c r="AN106" s="43">
        <f>F106*AF106</f>
        <v>804.7600000000001</v>
      </c>
      <c r="AO106" s="44" t="s">
        <v>662</v>
      </c>
      <c r="AP106" s="44" t="s">
        <v>687</v>
      </c>
      <c r="AQ106" s="34" t="s">
        <v>711</v>
      </c>
      <c r="AS106" s="43">
        <f>AM106+AN106</f>
        <v>804.7600000000001</v>
      </c>
      <c r="AT106" s="43">
        <f>G106/(100-AU106)*100</f>
        <v>295</v>
      </c>
      <c r="AU106" s="43">
        <v>0</v>
      </c>
      <c r="AV106" s="43">
        <f>L106</f>
        <v>0</v>
      </c>
    </row>
    <row r="107" spans="1:48">
      <c r="D107" s="85" t="s">
        <v>434</v>
      </c>
      <c r="F107" s="77">
        <v>2.7280000000000002</v>
      </c>
      <c r="G107" s="26"/>
    </row>
    <row r="108" spans="1:48">
      <c r="A108" s="5" t="s">
        <v>51</v>
      </c>
      <c r="B108" s="5" t="s">
        <v>195</v>
      </c>
      <c r="C108" s="5" t="s">
        <v>221</v>
      </c>
      <c r="D108" s="84" t="s">
        <v>379</v>
      </c>
      <c r="E108" s="5" t="s">
        <v>621</v>
      </c>
      <c r="F108" s="76">
        <v>5.4560000000000004</v>
      </c>
      <c r="G108" s="25">
        <v>265.5</v>
      </c>
      <c r="H108" s="18">
        <f>F108*AE108</f>
        <v>0</v>
      </c>
      <c r="I108" s="18">
        <f>J108-H108</f>
        <v>1448.5680000000002</v>
      </c>
      <c r="J108" s="18">
        <f>F108*G108</f>
        <v>1448.5680000000002</v>
      </c>
      <c r="K108" s="18">
        <v>0</v>
      </c>
      <c r="L108" s="18">
        <f>F108*K108</f>
        <v>0</v>
      </c>
      <c r="M108" s="38" t="s">
        <v>643</v>
      </c>
      <c r="P108" s="43">
        <f>IF(AG108="5",J108,0)</f>
        <v>1448.5680000000002</v>
      </c>
      <c r="R108" s="43">
        <f>IF(AG108="1",H108,0)</f>
        <v>0</v>
      </c>
      <c r="S108" s="43">
        <f>IF(AG108="1",I108,0)</f>
        <v>0</v>
      </c>
      <c r="T108" s="43">
        <f>IF(AG108="7",H108,0)</f>
        <v>0</v>
      </c>
      <c r="U108" s="43">
        <f>IF(AG108="7",I108,0)</f>
        <v>0</v>
      </c>
      <c r="V108" s="43">
        <f>IF(AG108="2",H108,0)</f>
        <v>0</v>
      </c>
      <c r="W108" s="43">
        <f>IF(AG108="2",I108,0)</f>
        <v>0</v>
      </c>
      <c r="X108" s="43">
        <f>IF(AG108="0",J108,0)</f>
        <v>0</v>
      </c>
      <c r="Y108" s="34" t="s">
        <v>195</v>
      </c>
      <c r="Z108" s="18">
        <f>IF(AD108=0,J108,0)</f>
        <v>0</v>
      </c>
      <c r="AA108" s="18">
        <f>IF(AD108=15,J108,0)</f>
        <v>0</v>
      </c>
      <c r="AB108" s="18">
        <f>IF(AD108=21,J108,0)</f>
        <v>1448.5680000000002</v>
      </c>
      <c r="AD108" s="43">
        <v>21</v>
      </c>
      <c r="AE108" s="43">
        <f>G108*0</f>
        <v>0</v>
      </c>
      <c r="AF108" s="43">
        <f>G108*(1-0)</f>
        <v>265.5</v>
      </c>
      <c r="AG108" s="38" t="s">
        <v>11</v>
      </c>
      <c r="AM108" s="43">
        <f>F108*AE108</f>
        <v>0</v>
      </c>
      <c r="AN108" s="43">
        <f>F108*AF108</f>
        <v>1448.5680000000002</v>
      </c>
      <c r="AO108" s="44" t="s">
        <v>662</v>
      </c>
      <c r="AP108" s="44" t="s">
        <v>687</v>
      </c>
      <c r="AQ108" s="34" t="s">
        <v>711</v>
      </c>
      <c r="AS108" s="43">
        <f>AM108+AN108</f>
        <v>1448.5680000000002</v>
      </c>
      <c r="AT108" s="43">
        <f>G108/(100-AU108)*100</f>
        <v>265.5</v>
      </c>
      <c r="AU108" s="43">
        <v>0</v>
      </c>
      <c r="AV108" s="43">
        <f>L108</f>
        <v>0</v>
      </c>
    </row>
    <row r="109" spans="1:48">
      <c r="A109" s="5" t="s">
        <v>52</v>
      </c>
      <c r="B109" s="5" t="s">
        <v>195</v>
      </c>
      <c r="C109" s="5" t="s">
        <v>222</v>
      </c>
      <c r="D109" s="84" t="s">
        <v>381</v>
      </c>
      <c r="E109" s="5" t="s">
        <v>621</v>
      </c>
      <c r="F109" s="76">
        <v>16.367999999999999</v>
      </c>
      <c r="G109" s="25">
        <v>127</v>
      </c>
      <c r="H109" s="18">
        <f>F109*AE109</f>
        <v>0</v>
      </c>
      <c r="I109" s="18">
        <f>J109-H109</f>
        <v>2078.7359999999999</v>
      </c>
      <c r="J109" s="18">
        <f>F109*G109</f>
        <v>2078.7359999999999</v>
      </c>
      <c r="K109" s="18">
        <v>0</v>
      </c>
      <c r="L109" s="18">
        <f>F109*K109</f>
        <v>0</v>
      </c>
      <c r="M109" s="38" t="s">
        <v>643</v>
      </c>
      <c r="P109" s="43">
        <f>IF(AG109="5",J109,0)</f>
        <v>2078.7359999999999</v>
      </c>
      <c r="R109" s="43">
        <f>IF(AG109="1",H109,0)</f>
        <v>0</v>
      </c>
      <c r="S109" s="43">
        <f>IF(AG109="1",I109,0)</f>
        <v>0</v>
      </c>
      <c r="T109" s="43">
        <f>IF(AG109="7",H109,0)</f>
        <v>0</v>
      </c>
      <c r="U109" s="43">
        <f>IF(AG109="7",I109,0)</f>
        <v>0</v>
      </c>
      <c r="V109" s="43">
        <f>IF(AG109="2",H109,0)</f>
        <v>0</v>
      </c>
      <c r="W109" s="43">
        <f>IF(AG109="2",I109,0)</f>
        <v>0</v>
      </c>
      <c r="X109" s="43">
        <f>IF(AG109="0",J109,0)</f>
        <v>0</v>
      </c>
      <c r="Y109" s="34" t="s">
        <v>195</v>
      </c>
      <c r="Z109" s="18">
        <f>IF(AD109=0,J109,0)</f>
        <v>0</v>
      </c>
      <c r="AA109" s="18">
        <f>IF(AD109=15,J109,0)</f>
        <v>0</v>
      </c>
      <c r="AB109" s="18">
        <f>IF(AD109=21,J109,0)</f>
        <v>2078.7359999999999</v>
      </c>
      <c r="AD109" s="43">
        <v>21</v>
      </c>
      <c r="AE109" s="43">
        <f>G109*0</f>
        <v>0</v>
      </c>
      <c r="AF109" s="43">
        <f>G109*(1-0)</f>
        <v>127</v>
      </c>
      <c r="AG109" s="38" t="s">
        <v>11</v>
      </c>
      <c r="AM109" s="43">
        <f>F109*AE109</f>
        <v>0</v>
      </c>
      <c r="AN109" s="43">
        <f>F109*AF109</f>
        <v>2078.7359999999999</v>
      </c>
      <c r="AO109" s="44" t="s">
        <v>662</v>
      </c>
      <c r="AP109" s="44" t="s">
        <v>687</v>
      </c>
      <c r="AQ109" s="34" t="s">
        <v>711</v>
      </c>
      <c r="AS109" s="43">
        <f>AM109+AN109</f>
        <v>2078.7359999999999</v>
      </c>
      <c r="AT109" s="43">
        <f>G109/(100-AU109)*100</f>
        <v>127</v>
      </c>
      <c r="AU109" s="43">
        <v>0</v>
      </c>
      <c r="AV109" s="43">
        <f>L109</f>
        <v>0</v>
      </c>
    </row>
    <row r="110" spans="1:48">
      <c r="D110" s="85" t="s">
        <v>435</v>
      </c>
      <c r="F110" s="77">
        <v>16.367999999999999</v>
      </c>
      <c r="G110" s="26"/>
    </row>
    <row r="111" spans="1:48">
      <c r="A111" s="5" t="s">
        <v>53</v>
      </c>
      <c r="B111" s="5" t="s">
        <v>195</v>
      </c>
      <c r="C111" s="5" t="s">
        <v>224</v>
      </c>
      <c r="D111" s="84" t="s">
        <v>384</v>
      </c>
      <c r="E111" s="5" t="s">
        <v>621</v>
      </c>
      <c r="F111" s="76">
        <v>5.4560000000000004</v>
      </c>
      <c r="G111" s="25">
        <v>9.9</v>
      </c>
      <c r="H111" s="18">
        <f>F111*AE111</f>
        <v>0</v>
      </c>
      <c r="I111" s="18">
        <f>J111-H111</f>
        <v>54.014400000000009</v>
      </c>
      <c r="J111" s="18">
        <f>F111*G111</f>
        <v>54.014400000000009</v>
      </c>
      <c r="K111" s="18">
        <v>0</v>
      </c>
      <c r="L111" s="18">
        <f>F111*K111</f>
        <v>0</v>
      </c>
      <c r="M111" s="38" t="s">
        <v>643</v>
      </c>
      <c r="P111" s="43">
        <f>IF(AG111="5",J111,0)</f>
        <v>54.014400000000009</v>
      </c>
      <c r="R111" s="43">
        <f>IF(AG111="1",H111,0)</f>
        <v>0</v>
      </c>
      <c r="S111" s="43">
        <f>IF(AG111="1",I111,0)</f>
        <v>0</v>
      </c>
      <c r="T111" s="43">
        <f>IF(AG111="7",H111,0)</f>
        <v>0</v>
      </c>
      <c r="U111" s="43">
        <f>IF(AG111="7",I111,0)</f>
        <v>0</v>
      </c>
      <c r="V111" s="43">
        <f>IF(AG111="2",H111,0)</f>
        <v>0</v>
      </c>
      <c r="W111" s="43">
        <f>IF(AG111="2",I111,0)</f>
        <v>0</v>
      </c>
      <c r="X111" s="43">
        <f>IF(AG111="0",J111,0)</f>
        <v>0</v>
      </c>
      <c r="Y111" s="34" t="s">
        <v>195</v>
      </c>
      <c r="Z111" s="18">
        <f>IF(AD111=0,J111,0)</f>
        <v>0</v>
      </c>
      <c r="AA111" s="18">
        <f>IF(AD111=15,J111,0)</f>
        <v>0</v>
      </c>
      <c r="AB111" s="18">
        <f>IF(AD111=21,J111,0)</f>
        <v>54.014400000000009</v>
      </c>
      <c r="AD111" s="43">
        <v>21</v>
      </c>
      <c r="AE111" s="43">
        <f>G111*0</f>
        <v>0</v>
      </c>
      <c r="AF111" s="43">
        <f>G111*(1-0)</f>
        <v>9.9</v>
      </c>
      <c r="AG111" s="38" t="s">
        <v>11</v>
      </c>
      <c r="AM111" s="43">
        <f>F111*AE111</f>
        <v>0</v>
      </c>
      <c r="AN111" s="43">
        <f>F111*AF111</f>
        <v>54.014400000000009</v>
      </c>
      <c r="AO111" s="44" t="s">
        <v>662</v>
      </c>
      <c r="AP111" s="44" t="s">
        <v>687</v>
      </c>
      <c r="AQ111" s="34" t="s">
        <v>711</v>
      </c>
      <c r="AS111" s="43">
        <f>AM111+AN111</f>
        <v>54.014400000000009</v>
      </c>
      <c r="AT111" s="43">
        <f>G111/(100-AU111)*100</f>
        <v>9.9</v>
      </c>
      <c r="AU111" s="43">
        <v>0</v>
      </c>
      <c r="AV111" s="43">
        <f>L111</f>
        <v>0</v>
      </c>
    </row>
    <row r="112" spans="1:48">
      <c r="A112" s="5" t="s">
        <v>54</v>
      </c>
      <c r="B112" s="5" t="s">
        <v>195</v>
      </c>
      <c r="C112" s="5" t="s">
        <v>245</v>
      </c>
      <c r="D112" s="84" t="s">
        <v>436</v>
      </c>
      <c r="E112" s="5" t="s">
        <v>621</v>
      </c>
      <c r="F112" s="76">
        <v>5.4560000000000004</v>
      </c>
      <c r="G112" s="25">
        <v>100</v>
      </c>
      <c r="H112" s="18">
        <f>F112*AE112</f>
        <v>0</v>
      </c>
      <c r="I112" s="18">
        <f>J112-H112</f>
        <v>545.6</v>
      </c>
      <c r="J112" s="18">
        <f>F112*G112</f>
        <v>545.6</v>
      </c>
      <c r="K112" s="18">
        <v>0</v>
      </c>
      <c r="L112" s="18">
        <f>F112*K112</f>
        <v>0</v>
      </c>
      <c r="M112" s="38" t="s">
        <v>643</v>
      </c>
      <c r="P112" s="43">
        <f>IF(AG112="5",J112,0)</f>
        <v>545.6</v>
      </c>
      <c r="R112" s="43">
        <f>IF(AG112="1",H112,0)</f>
        <v>0</v>
      </c>
      <c r="S112" s="43">
        <f>IF(AG112="1",I112,0)</f>
        <v>0</v>
      </c>
      <c r="T112" s="43">
        <f>IF(AG112="7",H112,0)</f>
        <v>0</v>
      </c>
      <c r="U112" s="43">
        <f>IF(AG112="7",I112,0)</f>
        <v>0</v>
      </c>
      <c r="V112" s="43">
        <f>IF(AG112="2",H112,0)</f>
        <v>0</v>
      </c>
      <c r="W112" s="43">
        <f>IF(AG112="2",I112,0)</f>
        <v>0</v>
      </c>
      <c r="X112" s="43">
        <f>IF(AG112="0",J112,0)</f>
        <v>0</v>
      </c>
      <c r="Y112" s="34" t="s">
        <v>195</v>
      </c>
      <c r="Z112" s="18">
        <f>IF(AD112=0,J112,0)</f>
        <v>0</v>
      </c>
      <c r="AA112" s="18">
        <f>IF(AD112=15,J112,0)</f>
        <v>0</v>
      </c>
      <c r="AB112" s="18">
        <f>IF(AD112=21,J112,0)</f>
        <v>545.6</v>
      </c>
      <c r="AD112" s="43">
        <v>21</v>
      </c>
      <c r="AE112" s="43">
        <f>G112*0</f>
        <v>0</v>
      </c>
      <c r="AF112" s="43">
        <f>G112*(1-0)</f>
        <v>100</v>
      </c>
      <c r="AG112" s="38" t="s">
        <v>11</v>
      </c>
      <c r="AM112" s="43">
        <f>F112*AE112</f>
        <v>0</v>
      </c>
      <c r="AN112" s="43">
        <f>F112*AF112</f>
        <v>545.6</v>
      </c>
      <c r="AO112" s="44" t="s">
        <v>662</v>
      </c>
      <c r="AP112" s="44" t="s">
        <v>687</v>
      </c>
      <c r="AQ112" s="34" t="s">
        <v>711</v>
      </c>
      <c r="AS112" s="43">
        <f>AM112+AN112</f>
        <v>545.6</v>
      </c>
      <c r="AT112" s="43">
        <f>G112/(100-AU112)*100</f>
        <v>100</v>
      </c>
      <c r="AU112" s="43">
        <v>0</v>
      </c>
      <c r="AV112" s="43">
        <f>L112</f>
        <v>0</v>
      </c>
    </row>
    <row r="113" spans="1:48">
      <c r="A113" s="5" t="s">
        <v>55</v>
      </c>
      <c r="B113" s="5" t="s">
        <v>195</v>
      </c>
      <c r="C113" s="5" t="s">
        <v>223</v>
      </c>
      <c r="D113" s="84" t="s">
        <v>383</v>
      </c>
      <c r="E113" s="5" t="s">
        <v>621</v>
      </c>
      <c r="F113" s="76">
        <v>5.4560000000000004</v>
      </c>
      <c r="G113" s="25">
        <v>329</v>
      </c>
      <c r="H113" s="18">
        <f>F113*AE113</f>
        <v>16.31887929689</v>
      </c>
      <c r="I113" s="18">
        <f>J113-H113</f>
        <v>1778.7051207031102</v>
      </c>
      <c r="J113" s="18">
        <f>F113*G113</f>
        <v>1795.0240000000001</v>
      </c>
      <c r="K113" s="18">
        <v>0</v>
      </c>
      <c r="L113" s="18">
        <f>F113*K113</f>
        <v>0</v>
      </c>
      <c r="M113" s="38" t="s">
        <v>643</v>
      </c>
      <c r="P113" s="43">
        <f>IF(AG113="5",J113,0)</f>
        <v>1795.0240000000001</v>
      </c>
      <c r="R113" s="43">
        <f>IF(AG113="1",H113,0)</f>
        <v>0</v>
      </c>
      <c r="S113" s="43">
        <f>IF(AG113="1",I113,0)</f>
        <v>0</v>
      </c>
      <c r="T113" s="43">
        <f>IF(AG113="7",H113,0)</f>
        <v>0</v>
      </c>
      <c r="U113" s="43">
        <f>IF(AG113="7",I113,0)</f>
        <v>0</v>
      </c>
      <c r="V113" s="43">
        <f>IF(AG113="2",H113,0)</f>
        <v>0</v>
      </c>
      <c r="W113" s="43">
        <f>IF(AG113="2",I113,0)</f>
        <v>0</v>
      </c>
      <c r="X113" s="43">
        <f>IF(AG113="0",J113,0)</f>
        <v>0</v>
      </c>
      <c r="Y113" s="34" t="s">
        <v>195</v>
      </c>
      <c r="Z113" s="18">
        <f>IF(AD113=0,J113,0)</f>
        <v>0</v>
      </c>
      <c r="AA113" s="18">
        <f>IF(AD113=15,J113,0)</f>
        <v>0</v>
      </c>
      <c r="AB113" s="18">
        <f>IF(AD113=21,J113,0)</f>
        <v>1795.0240000000001</v>
      </c>
      <c r="AD113" s="43">
        <v>21</v>
      </c>
      <c r="AE113" s="43">
        <f>G113*0.009091176105105</f>
        <v>2.9909969385795452</v>
      </c>
      <c r="AF113" s="43">
        <f>G113*(1-0.009091176105105)</f>
        <v>326.00900306142046</v>
      </c>
      <c r="AG113" s="38" t="s">
        <v>11</v>
      </c>
      <c r="AM113" s="43">
        <f>F113*AE113</f>
        <v>16.31887929689</v>
      </c>
      <c r="AN113" s="43">
        <f>F113*AF113</f>
        <v>1778.7051207031102</v>
      </c>
      <c r="AO113" s="44" t="s">
        <v>662</v>
      </c>
      <c r="AP113" s="44" t="s">
        <v>687</v>
      </c>
      <c r="AQ113" s="34" t="s">
        <v>711</v>
      </c>
      <c r="AS113" s="43">
        <f>AM113+AN113</f>
        <v>1795.0240000000001</v>
      </c>
      <c r="AT113" s="43">
        <f>G113/(100-AU113)*100</f>
        <v>329</v>
      </c>
      <c r="AU113" s="43">
        <v>0</v>
      </c>
      <c r="AV113" s="43">
        <f>L113</f>
        <v>0</v>
      </c>
    </row>
    <row r="114" spans="1:48">
      <c r="A114" s="5" t="s">
        <v>56</v>
      </c>
      <c r="B114" s="5" t="s">
        <v>195</v>
      </c>
      <c r="C114" s="5" t="s">
        <v>225</v>
      </c>
      <c r="D114" s="84" t="s">
        <v>385</v>
      </c>
      <c r="E114" s="5" t="s">
        <v>621</v>
      </c>
      <c r="F114" s="76">
        <v>54.56</v>
      </c>
      <c r="G114" s="25">
        <v>7.9</v>
      </c>
      <c r="H114" s="18">
        <f>F114*AE114</f>
        <v>0</v>
      </c>
      <c r="I114" s="18">
        <f>J114-H114</f>
        <v>431.02400000000006</v>
      </c>
      <c r="J114" s="18">
        <f>F114*G114</f>
        <v>431.02400000000006</v>
      </c>
      <c r="K114" s="18">
        <v>0</v>
      </c>
      <c r="L114" s="18">
        <f>F114*K114</f>
        <v>0</v>
      </c>
      <c r="M114" s="38" t="s">
        <v>643</v>
      </c>
      <c r="P114" s="43">
        <f>IF(AG114="5",J114,0)</f>
        <v>431.02400000000006</v>
      </c>
      <c r="R114" s="43">
        <f>IF(AG114="1",H114,0)</f>
        <v>0</v>
      </c>
      <c r="S114" s="43">
        <f>IF(AG114="1",I114,0)</f>
        <v>0</v>
      </c>
      <c r="T114" s="43">
        <f>IF(AG114="7",H114,0)</f>
        <v>0</v>
      </c>
      <c r="U114" s="43">
        <f>IF(AG114="7",I114,0)</f>
        <v>0</v>
      </c>
      <c r="V114" s="43">
        <f>IF(AG114="2",H114,0)</f>
        <v>0</v>
      </c>
      <c r="W114" s="43">
        <f>IF(AG114="2",I114,0)</f>
        <v>0</v>
      </c>
      <c r="X114" s="43">
        <f>IF(AG114="0",J114,0)</f>
        <v>0</v>
      </c>
      <c r="Y114" s="34" t="s">
        <v>195</v>
      </c>
      <c r="Z114" s="18">
        <f>IF(AD114=0,J114,0)</f>
        <v>0</v>
      </c>
      <c r="AA114" s="18">
        <f>IF(AD114=15,J114,0)</f>
        <v>0</v>
      </c>
      <c r="AB114" s="18">
        <f>IF(AD114=21,J114,0)</f>
        <v>431.02400000000006</v>
      </c>
      <c r="AD114" s="43">
        <v>21</v>
      </c>
      <c r="AE114" s="43">
        <f>G114*0</f>
        <v>0</v>
      </c>
      <c r="AF114" s="43">
        <f>G114*(1-0)</f>
        <v>7.9</v>
      </c>
      <c r="AG114" s="38" t="s">
        <v>11</v>
      </c>
      <c r="AM114" s="43">
        <f>F114*AE114</f>
        <v>0</v>
      </c>
      <c r="AN114" s="43">
        <f>F114*AF114</f>
        <v>431.02400000000006</v>
      </c>
      <c r="AO114" s="44" t="s">
        <v>662</v>
      </c>
      <c r="AP114" s="44" t="s">
        <v>687</v>
      </c>
      <c r="AQ114" s="34" t="s">
        <v>711</v>
      </c>
      <c r="AS114" s="43">
        <f>AM114+AN114</f>
        <v>431.02400000000006</v>
      </c>
      <c r="AT114" s="43">
        <f>G114/(100-AU114)*100</f>
        <v>7.9</v>
      </c>
      <c r="AU114" s="43">
        <v>0</v>
      </c>
      <c r="AV114" s="43">
        <f>L114</f>
        <v>0</v>
      </c>
    </row>
    <row r="115" spans="1:48">
      <c r="D115" s="85" t="s">
        <v>437</v>
      </c>
      <c r="F115" s="77">
        <v>54.56</v>
      </c>
      <c r="G115" s="26"/>
    </row>
    <row r="116" spans="1:48">
      <c r="A116" s="5" t="s">
        <v>57</v>
      </c>
      <c r="B116" s="5" t="s">
        <v>195</v>
      </c>
      <c r="C116" s="5" t="s">
        <v>226</v>
      </c>
      <c r="D116" s="84" t="s">
        <v>387</v>
      </c>
      <c r="E116" s="5" t="s">
        <v>621</v>
      </c>
      <c r="F116" s="76">
        <v>5.4560000000000004</v>
      </c>
      <c r="G116" s="25">
        <v>300</v>
      </c>
      <c r="H116" s="18">
        <f>F116*AE116</f>
        <v>0</v>
      </c>
      <c r="I116" s="18">
        <f>J116-H116</f>
        <v>1636.8000000000002</v>
      </c>
      <c r="J116" s="18">
        <f>F116*G116</f>
        <v>1636.8000000000002</v>
      </c>
      <c r="K116" s="18">
        <v>0</v>
      </c>
      <c r="L116" s="18">
        <f>F116*K116</f>
        <v>0</v>
      </c>
      <c r="M116" s="38" t="s">
        <v>643</v>
      </c>
      <c r="P116" s="43">
        <f>IF(AG116="5",J116,0)</f>
        <v>1636.8000000000002</v>
      </c>
      <c r="R116" s="43">
        <f>IF(AG116="1",H116,0)</f>
        <v>0</v>
      </c>
      <c r="S116" s="43">
        <f>IF(AG116="1",I116,0)</f>
        <v>0</v>
      </c>
      <c r="T116" s="43">
        <f>IF(AG116="7",H116,0)</f>
        <v>0</v>
      </c>
      <c r="U116" s="43">
        <f>IF(AG116="7",I116,0)</f>
        <v>0</v>
      </c>
      <c r="V116" s="43">
        <f>IF(AG116="2",H116,0)</f>
        <v>0</v>
      </c>
      <c r="W116" s="43">
        <f>IF(AG116="2",I116,0)</f>
        <v>0</v>
      </c>
      <c r="X116" s="43">
        <f>IF(AG116="0",J116,0)</f>
        <v>0</v>
      </c>
      <c r="Y116" s="34" t="s">
        <v>195</v>
      </c>
      <c r="Z116" s="18">
        <f>IF(AD116=0,J116,0)</f>
        <v>0</v>
      </c>
      <c r="AA116" s="18">
        <f>IF(AD116=15,J116,0)</f>
        <v>0</v>
      </c>
      <c r="AB116" s="18">
        <f>IF(AD116=21,J116,0)</f>
        <v>1636.8000000000002</v>
      </c>
      <c r="AD116" s="43">
        <v>21</v>
      </c>
      <c r="AE116" s="43">
        <f>G116*0</f>
        <v>0</v>
      </c>
      <c r="AF116" s="43">
        <f>G116*(1-0)</f>
        <v>300</v>
      </c>
      <c r="AG116" s="38" t="s">
        <v>11</v>
      </c>
      <c r="AM116" s="43">
        <f>F116*AE116</f>
        <v>0</v>
      </c>
      <c r="AN116" s="43">
        <f>F116*AF116</f>
        <v>1636.8000000000002</v>
      </c>
      <c r="AO116" s="44" t="s">
        <v>662</v>
      </c>
      <c r="AP116" s="44" t="s">
        <v>687</v>
      </c>
      <c r="AQ116" s="34" t="s">
        <v>711</v>
      </c>
      <c r="AS116" s="43">
        <f>AM116+AN116</f>
        <v>1636.8000000000002</v>
      </c>
      <c r="AT116" s="43">
        <f>G116/(100-AU116)*100</f>
        <v>300</v>
      </c>
      <c r="AU116" s="43">
        <v>0</v>
      </c>
      <c r="AV116" s="43">
        <f>L116</f>
        <v>0</v>
      </c>
    </row>
    <row r="117" spans="1:48">
      <c r="A117" s="7"/>
      <c r="B117" s="15" t="s">
        <v>196</v>
      </c>
      <c r="C117" s="15"/>
      <c r="D117" s="87" t="s">
        <v>438</v>
      </c>
      <c r="E117" s="7" t="s">
        <v>6</v>
      </c>
      <c r="F117" s="7" t="s">
        <v>6</v>
      </c>
      <c r="G117" s="28" t="s">
        <v>6</v>
      </c>
      <c r="H117" s="47">
        <f>H118+H123+H127+H136+H145+H154+H161+H166+H171</f>
        <v>91622.63534323941</v>
      </c>
      <c r="I117" s="47">
        <f>I118+I123+I127+I136+I145+I154+I161+I166+I171</f>
        <v>126221.54762676058</v>
      </c>
      <c r="J117" s="47">
        <f>H117+I117</f>
        <v>217844.18296999999</v>
      </c>
      <c r="K117" s="35"/>
      <c r="L117" s="47">
        <f>L118+L123+L127+L136+L145+L154+L161+L166+L171</f>
        <v>11.581195559999999</v>
      </c>
      <c r="M117" s="35"/>
    </row>
    <row r="118" spans="1:48">
      <c r="A118" s="4"/>
      <c r="B118" s="14" t="s">
        <v>196</v>
      </c>
      <c r="C118" s="14" t="s">
        <v>69</v>
      </c>
      <c r="D118" s="83" t="s">
        <v>439</v>
      </c>
      <c r="E118" s="4" t="s">
        <v>6</v>
      </c>
      <c r="F118" s="4" t="s">
        <v>6</v>
      </c>
      <c r="G118" s="24" t="s">
        <v>6</v>
      </c>
      <c r="H118" s="46">
        <f>SUM(H119:H121)</f>
        <v>1406.5808719723184</v>
      </c>
      <c r="I118" s="46">
        <f>SUM(I119:I121)</f>
        <v>6263.8191280276824</v>
      </c>
      <c r="J118" s="46">
        <f>H118+I118</f>
        <v>7670.4000000000005</v>
      </c>
      <c r="K118" s="34"/>
      <c r="L118" s="46">
        <f>SUM(L119:L121)</f>
        <v>3.9668000000000001</v>
      </c>
      <c r="M118" s="34"/>
      <c r="Y118" s="34" t="s">
        <v>196</v>
      </c>
      <c r="AI118" s="46">
        <f>SUM(Z119:Z121)</f>
        <v>0</v>
      </c>
      <c r="AJ118" s="46">
        <f>SUM(AA119:AA121)</f>
        <v>0</v>
      </c>
      <c r="AK118" s="46">
        <f>SUM(AB119:AB121)</f>
        <v>7670.4000000000005</v>
      </c>
    </row>
    <row r="119" spans="1:48">
      <c r="A119" s="5" t="s">
        <v>58</v>
      </c>
      <c r="B119" s="5" t="s">
        <v>196</v>
      </c>
      <c r="C119" s="5" t="s">
        <v>246</v>
      </c>
      <c r="D119" s="84" t="s">
        <v>440</v>
      </c>
      <c r="E119" s="5" t="s">
        <v>620</v>
      </c>
      <c r="F119" s="76">
        <v>18.8</v>
      </c>
      <c r="G119" s="25">
        <v>288</v>
      </c>
      <c r="H119" s="18">
        <f>F119*AE119</f>
        <v>0</v>
      </c>
      <c r="I119" s="18">
        <f>J119-H119</f>
        <v>5414.4000000000005</v>
      </c>
      <c r="J119" s="18">
        <f>F119*G119</f>
        <v>5414.4000000000005</v>
      </c>
      <c r="K119" s="18">
        <v>0.11</v>
      </c>
      <c r="L119" s="18">
        <f>F119*K119</f>
        <v>2.0680000000000001</v>
      </c>
      <c r="M119" s="38" t="s">
        <v>643</v>
      </c>
      <c r="P119" s="43">
        <f>IF(AG119="5",J119,0)</f>
        <v>0</v>
      </c>
      <c r="R119" s="43">
        <f>IF(AG119="1",H119,0)</f>
        <v>0</v>
      </c>
      <c r="S119" s="43">
        <f>IF(AG119="1",I119,0)</f>
        <v>5414.4000000000005</v>
      </c>
      <c r="T119" s="43">
        <f>IF(AG119="7",H119,0)</f>
        <v>0</v>
      </c>
      <c r="U119" s="43">
        <f>IF(AG119="7",I119,0)</f>
        <v>0</v>
      </c>
      <c r="V119" s="43">
        <f>IF(AG119="2",H119,0)</f>
        <v>0</v>
      </c>
      <c r="W119" s="43">
        <f>IF(AG119="2",I119,0)</f>
        <v>0</v>
      </c>
      <c r="X119" s="43">
        <f>IF(AG119="0",J119,0)</f>
        <v>0</v>
      </c>
      <c r="Y119" s="34" t="s">
        <v>196</v>
      </c>
      <c r="Z119" s="18">
        <f>IF(AD119=0,J119,0)</f>
        <v>0</v>
      </c>
      <c r="AA119" s="18">
        <f>IF(AD119=15,J119,0)</f>
        <v>0</v>
      </c>
      <c r="AB119" s="18">
        <f>IF(AD119=21,J119,0)</f>
        <v>5414.4000000000005</v>
      </c>
      <c r="AD119" s="43">
        <v>21</v>
      </c>
      <c r="AE119" s="43">
        <f>G119*0</f>
        <v>0</v>
      </c>
      <c r="AF119" s="43">
        <f>G119*(1-0)</f>
        <v>288</v>
      </c>
      <c r="AG119" s="38" t="s">
        <v>7</v>
      </c>
      <c r="AM119" s="43">
        <f>F119*AE119</f>
        <v>0</v>
      </c>
      <c r="AN119" s="43">
        <f>F119*AF119</f>
        <v>5414.4000000000005</v>
      </c>
      <c r="AO119" s="44" t="s">
        <v>666</v>
      </c>
      <c r="AP119" s="44" t="s">
        <v>688</v>
      </c>
      <c r="AQ119" s="34" t="s">
        <v>712</v>
      </c>
      <c r="AS119" s="43">
        <f>AM119+AN119</f>
        <v>5414.4000000000005</v>
      </c>
      <c r="AT119" s="43">
        <f>G119/(100-AU119)*100</f>
        <v>288</v>
      </c>
      <c r="AU119" s="43">
        <v>0</v>
      </c>
      <c r="AV119" s="43">
        <f>L119</f>
        <v>2.0680000000000001</v>
      </c>
    </row>
    <row r="120" spans="1:48">
      <c r="D120" s="85" t="s">
        <v>441</v>
      </c>
      <c r="F120" s="77">
        <v>18.8</v>
      </c>
      <c r="G120" s="26"/>
    </row>
    <row r="121" spans="1:48">
      <c r="A121" s="5" t="s">
        <v>59</v>
      </c>
      <c r="B121" s="5" t="s">
        <v>196</v>
      </c>
      <c r="C121" s="5" t="s">
        <v>247</v>
      </c>
      <c r="D121" s="84" t="s">
        <v>442</v>
      </c>
      <c r="E121" s="5" t="s">
        <v>624</v>
      </c>
      <c r="F121" s="76">
        <v>0.752</v>
      </c>
      <c r="G121" s="25">
        <v>3000</v>
      </c>
      <c r="H121" s="18">
        <f>F121*AE121</f>
        <v>1406.5808719723184</v>
      </c>
      <c r="I121" s="18">
        <f>J121-H121</f>
        <v>849.41912802768161</v>
      </c>
      <c r="J121" s="18">
        <f>F121*G121</f>
        <v>2256</v>
      </c>
      <c r="K121" s="18">
        <v>2.5249999999999999</v>
      </c>
      <c r="L121" s="18">
        <f>F121*K121</f>
        <v>1.8988</v>
      </c>
      <c r="M121" s="38" t="s">
        <v>643</v>
      </c>
      <c r="P121" s="43">
        <f>IF(AG121="5",J121,0)</f>
        <v>0</v>
      </c>
      <c r="R121" s="43">
        <f>IF(AG121="1",H121,0)</f>
        <v>1406.5808719723184</v>
      </c>
      <c r="S121" s="43">
        <f>IF(AG121="1",I121,0)</f>
        <v>849.41912802768161</v>
      </c>
      <c r="T121" s="43">
        <f>IF(AG121="7",H121,0)</f>
        <v>0</v>
      </c>
      <c r="U121" s="43">
        <f>IF(AG121="7",I121,0)</f>
        <v>0</v>
      </c>
      <c r="V121" s="43">
        <f>IF(AG121="2",H121,0)</f>
        <v>0</v>
      </c>
      <c r="W121" s="43">
        <f>IF(AG121="2",I121,0)</f>
        <v>0</v>
      </c>
      <c r="X121" s="43">
        <f>IF(AG121="0",J121,0)</f>
        <v>0</v>
      </c>
      <c r="Y121" s="34" t="s">
        <v>196</v>
      </c>
      <c r="Z121" s="18">
        <f>IF(AD121=0,J121,0)</f>
        <v>0</v>
      </c>
      <c r="AA121" s="18">
        <f>IF(AD121=15,J121,0)</f>
        <v>0</v>
      </c>
      <c r="AB121" s="18">
        <f>IF(AD121=21,J121,0)</f>
        <v>2256</v>
      </c>
      <c r="AD121" s="43">
        <v>21</v>
      </c>
      <c r="AE121" s="43">
        <f>G121*0.623484429065744</f>
        <v>1870.4532871972319</v>
      </c>
      <c r="AF121" s="43">
        <f>G121*(1-0.623484429065744)</f>
        <v>1129.5467128027681</v>
      </c>
      <c r="AG121" s="38" t="s">
        <v>7</v>
      </c>
      <c r="AM121" s="43">
        <f>F121*AE121</f>
        <v>1406.5808719723184</v>
      </c>
      <c r="AN121" s="43">
        <f>F121*AF121</f>
        <v>849.41912802768161</v>
      </c>
      <c r="AO121" s="44" t="s">
        <v>666</v>
      </c>
      <c r="AP121" s="44" t="s">
        <v>688</v>
      </c>
      <c r="AQ121" s="34" t="s">
        <v>712</v>
      </c>
      <c r="AS121" s="43">
        <f>AM121+AN121</f>
        <v>2256</v>
      </c>
      <c r="AT121" s="43">
        <f>G121/(100-AU121)*100</f>
        <v>3000</v>
      </c>
      <c r="AU121" s="43">
        <v>0</v>
      </c>
      <c r="AV121" s="43">
        <f>L121</f>
        <v>1.8988</v>
      </c>
    </row>
    <row r="122" spans="1:48">
      <c r="D122" s="85" t="s">
        <v>443</v>
      </c>
      <c r="F122" s="77">
        <v>0.752</v>
      </c>
      <c r="G122" s="26"/>
    </row>
    <row r="123" spans="1:48">
      <c r="A123" s="4"/>
      <c r="B123" s="14" t="s">
        <v>196</v>
      </c>
      <c r="C123" s="14" t="s">
        <v>248</v>
      </c>
      <c r="D123" s="83" t="s">
        <v>444</v>
      </c>
      <c r="E123" s="4" t="s">
        <v>6</v>
      </c>
      <c r="F123" s="4" t="s">
        <v>6</v>
      </c>
      <c r="G123" s="24" t="s">
        <v>6</v>
      </c>
      <c r="H123" s="46">
        <f>SUM(H124:H124)</f>
        <v>12644.466114046545</v>
      </c>
      <c r="I123" s="46">
        <f>SUM(I124:I124)</f>
        <v>9085.6338859534571</v>
      </c>
      <c r="J123" s="46">
        <f>H123+I123</f>
        <v>21730.100000000002</v>
      </c>
      <c r="K123" s="34"/>
      <c r="L123" s="46">
        <f>SUM(L124:L124)</f>
        <v>0.17290112000000002</v>
      </c>
      <c r="M123" s="34"/>
      <c r="Y123" s="34" t="s">
        <v>196</v>
      </c>
      <c r="AI123" s="46">
        <f>SUM(Z124:Z124)</f>
        <v>0</v>
      </c>
      <c r="AJ123" s="46">
        <f>SUM(AA124:AA124)</f>
        <v>0</v>
      </c>
      <c r="AK123" s="46">
        <f>SUM(AB124:AB124)</f>
        <v>21730.100000000002</v>
      </c>
    </row>
    <row r="124" spans="1:48">
      <c r="A124" s="5" t="s">
        <v>60</v>
      </c>
      <c r="B124" s="5" t="s">
        <v>196</v>
      </c>
      <c r="C124" s="5" t="s">
        <v>249</v>
      </c>
      <c r="D124" s="84" t="s">
        <v>445</v>
      </c>
      <c r="E124" s="5" t="s">
        <v>620</v>
      </c>
      <c r="F124" s="76">
        <v>46.984000000000002</v>
      </c>
      <c r="G124" s="25">
        <v>462.5</v>
      </c>
      <c r="H124" s="18">
        <f>F124*AE124</f>
        <v>12644.466114046545</v>
      </c>
      <c r="I124" s="18">
        <f>J124-H124</f>
        <v>9085.6338859534571</v>
      </c>
      <c r="J124" s="18">
        <f>F124*G124</f>
        <v>21730.100000000002</v>
      </c>
      <c r="K124" s="18">
        <v>3.6800000000000001E-3</v>
      </c>
      <c r="L124" s="18">
        <f>F124*K124</f>
        <v>0.17290112000000002</v>
      </c>
      <c r="M124" s="38" t="s">
        <v>643</v>
      </c>
      <c r="P124" s="43">
        <f>IF(AG124="5",J124,0)</f>
        <v>0</v>
      </c>
      <c r="R124" s="43">
        <f>IF(AG124="1",H124,0)</f>
        <v>0</v>
      </c>
      <c r="S124" s="43">
        <f>IF(AG124="1",I124,0)</f>
        <v>0</v>
      </c>
      <c r="T124" s="43">
        <f>IF(AG124="7",H124,0)</f>
        <v>12644.466114046545</v>
      </c>
      <c r="U124" s="43">
        <f>IF(AG124="7",I124,0)</f>
        <v>9085.6338859534571</v>
      </c>
      <c r="V124" s="43">
        <f>IF(AG124="2",H124,0)</f>
        <v>0</v>
      </c>
      <c r="W124" s="43">
        <f>IF(AG124="2",I124,0)</f>
        <v>0</v>
      </c>
      <c r="X124" s="43">
        <f>IF(AG124="0",J124,0)</f>
        <v>0</v>
      </c>
      <c r="Y124" s="34" t="s">
        <v>196</v>
      </c>
      <c r="Z124" s="18">
        <f>IF(AD124=0,J124,0)</f>
        <v>0</v>
      </c>
      <c r="AA124" s="18">
        <f>IF(AD124=15,J124,0)</f>
        <v>0</v>
      </c>
      <c r="AB124" s="18">
        <f>IF(AD124=21,J124,0)</f>
        <v>21730.100000000002</v>
      </c>
      <c r="AD124" s="43">
        <v>21</v>
      </c>
      <c r="AE124" s="43">
        <f>G124*0.58188715717123</f>
        <v>269.12281019169387</v>
      </c>
      <c r="AF124" s="43">
        <f>G124*(1-0.58188715717123)</f>
        <v>193.37718980830616</v>
      </c>
      <c r="AG124" s="38" t="s">
        <v>13</v>
      </c>
      <c r="AM124" s="43">
        <f>F124*AE124</f>
        <v>12644.466114046545</v>
      </c>
      <c r="AN124" s="43">
        <f>F124*AF124</f>
        <v>9085.6338859534571</v>
      </c>
      <c r="AO124" s="44" t="s">
        <v>667</v>
      </c>
      <c r="AP124" s="44" t="s">
        <v>689</v>
      </c>
      <c r="AQ124" s="34" t="s">
        <v>712</v>
      </c>
      <c r="AS124" s="43">
        <f>AM124+AN124</f>
        <v>21730.100000000002</v>
      </c>
      <c r="AT124" s="43">
        <f>G124/(100-AU124)*100</f>
        <v>462.5</v>
      </c>
      <c r="AU124" s="43">
        <v>0</v>
      </c>
      <c r="AV124" s="43">
        <f>L124</f>
        <v>0.17290112000000002</v>
      </c>
    </row>
    <row r="125" spans="1:48">
      <c r="D125" s="85" t="s">
        <v>446</v>
      </c>
      <c r="F125" s="77">
        <v>23.34</v>
      </c>
      <c r="G125" s="26"/>
    </row>
    <row r="126" spans="1:48">
      <c r="D126" s="85" t="s">
        <v>447</v>
      </c>
      <c r="F126" s="77">
        <v>23.643999999999998</v>
      </c>
      <c r="G126" s="26"/>
    </row>
    <row r="127" spans="1:48">
      <c r="A127" s="4"/>
      <c r="B127" s="14" t="s">
        <v>196</v>
      </c>
      <c r="C127" s="14" t="s">
        <v>250</v>
      </c>
      <c r="D127" s="83" t="s">
        <v>448</v>
      </c>
      <c r="E127" s="4" t="s">
        <v>6</v>
      </c>
      <c r="F127" s="4" t="s">
        <v>6</v>
      </c>
      <c r="G127" s="24" t="s">
        <v>6</v>
      </c>
      <c r="H127" s="46">
        <f>SUM(H128:H135)</f>
        <v>42496.399384643206</v>
      </c>
      <c r="I127" s="46">
        <f>SUM(I128:I135)</f>
        <v>30713.600615356794</v>
      </c>
      <c r="J127" s="46">
        <f>H127+I127</f>
        <v>73210</v>
      </c>
      <c r="K127" s="34"/>
      <c r="L127" s="46">
        <f>SUM(L128:L135)</f>
        <v>7.238E-2</v>
      </c>
      <c r="M127" s="34"/>
      <c r="Y127" s="34" t="s">
        <v>196</v>
      </c>
      <c r="AI127" s="46">
        <f>SUM(Z128:Z135)</f>
        <v>0</v>
      </c>
      <c r="AJ127" s="46">
        <f>SUM(AA128:AA135)</f>
        <v>0</v>
      </c>
      <c r="AK127" s="46">
        <f>SUM(AB128:AB135)</f>
        <v>73210</v>
      </c>
    </row>
    <row r="128" spans="1:48">
      <c r="A128" s="5" t="s">
        <v>61</v>
      </c>
      <c r="B128" s="5" t="s">
        <v>196</v>
      </c>
      <c r="C128" s="5" t="s">
        <v>251</v>
      </c>
      <c r="D128" s="84" t="s">
        <v>449</v>
      </c>
      <c r="E128" s="5" t="s">
        <v>623</v>
      </c>
      <c r="F128" s="76">
        <v>2</v>
      </c>
      <c r="G128" s="25">
        <v>3000</v>
      </c>
      <c r="H128" s="18">
        <f t="shared" ref="H128:H135" si="22">F128*AE128</f>
        <v>2480.3389830508499</v>
      </c>
      <c r="I128" s="18">
        <f t="shared" ref="I128:I135" si="23">J128-H128</f>
        <v>3519.6610169491501</v>
      </c>
      <c r="J128" s="18">
        <f t="shared" ref="J128:J135" si="24">F128*G128</f>
        <v>6000</v>
      </c>
      <c r="K128" s="18">
        <v>8.4000000000000003E-4</v>
      </c>
      <c r="L128" s="18">
        <f t="shared" ref="L128:L135" si="25">F128*K128</f>
        <v>1.6800000000000001E-3</v>
      </c>
      <c r="M128" s="38" t="s">
        <v>643</v>
      </c>
      <c r="P128" s="43">
        <f t="shared" ref="P128:P135" si="26">IF(AG128="5",J128,0)</f>
        <v>0</v>
      </c>
      <c r="R128" s="43">
        <f t="shared" ref="R128:R135" si="27">IF(AG128="1",H128,0)</f>
        <v>0</v>
      </c>
      <c r="S128" s="43">
        <f t="shared" ref="S128:S135" si="28">IF(AG128="1",I128,0)</f>
        <v>0</v>
      </c>
      <c r="T128" s="43">
        <f t="shared" ref="T128:T135" si="29">IF(AG128="7",H128,0)</f>
        <v>2480.3389830508499</v>
      </c>
      <c r="U128" s="43">
        <f t="shared" ref="U128:U135" si="30">IF(AG128="7",I128,0)</f>
        <v>3519.6610169491501</v>
      </c>
      <c r="V128" s="43">
        <f t="shared" ref="V128:V135" si="31">IF(AG128="2",H128,0)</f>
        <v>0</v>
      </c>
      <c r="W128" s="43">
        <f t="shared" ref="W128:W135" si="32">IF(AG128="2",I128,0)</f>
        <v>0</v>
      </c>
      <c r="X128" s="43">
        <f t="shared" ref="X128:X135" si="33">IF(AG128="0",J128,0)</f>
        <v>0</v>
      </c>
      <c r="Y128" s="34" t="s">
        <v>196</v>
      </c>
      <c r="Z128" s="18">
        <f t="shared" ref="Z128:Z135" si="34">IF(AD128=0,J128,0)</f>
        <v>0</v>
      </c>
      <c r="AA128" s="18">
        <f t="shared" ref="AA128:AA135" si="35">IF(AD128=15,J128,0)</f>
        <v>0</v>
      </c>
      <c r="AB128" s="18">
        <f t="shared" ref="AB128:AB135" si="36">IF(AD128=21,J128,0)</f>
        <v>6000</v>
      </c>
      <c r="AD128" s="43">
        <v>21</v>
      </c>
      <c r="AE128" s="43">
        <f>G128*0.413389830508475</f>
        <v>1240.169491525425</v>
      </c>
      <c r="AF128" s="43">
        <f>G128*(1-0.413389830508475)</f>
        <v>1759.830508474575</v>
      </c>
      <c r="AG128" s="38" t="s">
        <v>13</v>
      </c>
      <c r="AM128" s="43">
        <f t="shared" ref="AM128:AM135" si="37">F128*AE128</f>
        <v>2480.3389830508499</v>
      </c>
      <c r="AN128" s="43">
        <f t="shared" ref="AN128:AN135" si="38">F128*AF128</f>
        <v>3519.6610169491501</v>
      </c>
      <c r="AO128" s="44" t="s">
        <v>668</v>
      </c>
      <c r="AP128" s="44" t="s">
        <v>690</v>
      </c>
      <c r="AQ128" s="34" t="s">
        <v>712</v>
      </c>
      <c r="AS128" s="43">
        <f t="shared" ref="AS128:AS135" si="39">AM128+AN128</f>
        <v>6000</v>
      </c>
      <c r="AT128" s="43">
        <f t="shared" ref="AT128:AT135" si="40">G128/(100-AU128)*100</f>
        <v>3000</v>
      </c>
      <c r="AU128" s="43">
        <v>0</v>
      </c>
      <c r="AV128" s="43">
        <f t="shared" ref="AV128:AV135" si="41">L128</f>
        <v>1.6800000000000001E-3</v>
      </c>
    </row>
    <row r="129" spans="1:48">
      <c r="A129" s="5" t="s">
        <v>62</v>
      </c>
      <c r="B129" s="5" t="s">
        <v>196</v>
      </c>
      <c r="C129" s="5" t="s">
        <v>252</v>
      </c>
      <c r="D129" s="84" t="s">
        <v>450</v>
      </c>
      <c r="E129" s="5" t="s">
        <v>622</v>
      </c>
      <c r="F129" s="76">
        <v>2</v>
      </c>
      <c r="G129" s="25">
        <v>388</v>
      </c>
      <c r="H129" s="18">
        <f t="shared" si="22"/>
        <v>0</v>
      </c>
      <c r="I129" s="18">
        <f t="shared" si="23"/>
        <v>776</v>
      </c>
      <c r="J129" s="18">
        <f t="shared" si="24"/>
        <v>776</v>
      </c>
      <c r="K129" s="18">
        <v>3.1870000000000002E-2</v>
      </c>
      <c r="L129" s="18">
        <f t="shared" si="25"/>
        <v>6.3740000000000005E-2</v>
      </c>
      <c r="M129" s="38" t="s">
        <v>643</v>
      </c>
      <c r="P129" s="43">
        <f t="shared" si="26"/>
        <v>0</v>
      </c>
      <c r="R129" s="43">
        <f t="shared" si="27"/>
        <v>0</v>
      </c>
      <c r="S129" s="43">
        <f t="shared" si="28"/>
        <v>0</v>
      </c>
      <c r="T129" s="43">
        <f t="shared" si="29"/>
        <v>0</v>
      </c>
      <c r="U129" s="43">
        <f t="shared" si="30"/>
        <v>776</v>
      </c>
      <c r="V129" s="43">
        <f t="shared" si="31"/>
        <v>0</v>
      </c>
      <c r="W129" s="43">
        <f t="shared" si="32"/>
        <v>0</v>
      </c>
      <c r="X129" s="43">
        <f t="shared" si="33"/>
        <v>0</v>
      </c>
      <c r="Y129" s="34" t="s">
        <v>196</v>
      </c>
      <c r="Z129" s="18">
        <f t="shared" si="34"/>
        <v>0</v>
      </c>
      <c r="AA129" s="18">
        <f t="shared" si="35"/>
        <v>0</v>
      </c>
      <c r="AB129" s="18">
        <f t="shared" si="36"/>
        <v>776</v>
      </c>
      <c r="AD129" s="43">
        <v>21</v>
      </c>
      <c r="AE129" s="43">
        <f>G129*0</f>
        <v>0</v>
      </c>
      <c r="AF129" s="43">
        <f>G129*(1-0)</f>
        <v>388</v>
      </c>
      <c r="AG129" s="38" t="s">
        <v>13</v>
      </c>
      <c r="AM129" s="43">
        <f t="shared" si="37"/>
        <v>0</v>
      </c>
      <c r="AN129" s="43">
        <f t="shared" si="38"/>
        <v>776</v>
      </c>
      <c r="AO129" s="44" t="s">
        <v>668</v>
      </c>
      <c r="AP129" s="44" t="s">
        <v>690</v>
      </c>
      <c r="AQ129" s="34" t="s">
        <v>712</v>
      </c>
      <c r="AS129" s="43">
        <f t="shared" si="39"/>
        <v>776</v>
      </c>
      <c r="AT129" s="43">
        <f t="shared" si="40"/>
        <v>388</v>
      </c>
      <c r="AU129" s="43">
        <v>0</v>
      </c>
      <c r="AV129" s="43">
        <f t="shared" si="41"/>
        <v>6.3740000000000005E-2</v>
      </c>
    </row>
    <row r="130" spans="1:48">
      <c r="A130" s="5" t="s">
        <v>63</v>
      </c>
      <c r="B130" s="5" t="s">
        <v>196</v>
      </c>
      <c r="C130" s="5" t="s">
        <v>253</v>
      </c>
      <c r="D130" s="84" t="s">
        <v>451</v>
      </c>
      <c r="E130" s="5" t="s">
        <v>623</v>
      </c>
      <c r="F130" s="76">
        <v>2</v>
      </c>
      <c r="G130" s="25">
        <v>1135</v>
      </c>
      <c r="H130" s="18">
        <f t="shared" si="22"/>
        <v>938.3949152542383</v>
      </c>
      <c r="I130" s="18">
        <f t="shared" si="23"/>
        <v>1331.6050847457618</v>
      </c>
      <c r="J130" s="18">
        <f t="shared" si="24"/>
        <v>2270</v>
      </c>
      <c r="K130" s="18">
        <v>8.4000000000000003E-4</v>
      </c>
      <c r="L130" s="18">
        <f t="shared" si="25"/>
        <v>1.6800000000000001E-3</v>
      </c>
      <c r="M130" s="38" t="s">
        <v>643</v>
      </c>
      <c r="P130" s="43">
        <f t="shared" si="26"/>
        <v>0</v>
      </c>
      <c r="R130" s="43">
        <f t="shared" si="27"/>
        <v>0</v>
      </c>
      <c r="S130" s="43">
        <f t="shared" si="28"/>
        <v>0</v>
      </c>
      <c r="T130" s="43">
        <f t="shared" si="29"/>
        <v>938.3949152542383</v>
      </c>
      <c r="U130" s="43">
        <f t="shared" si="30"/>
        <v>1331.6050847457618</v>
      </c>
      <c r="V130" s="43">
        <f t="shared" si="31"/>
        <v>0</v>
      </c>
      <c r="W130" s="43">
        <f t="shared" si="32"/>
        <v>0</v>
      </c>
      <c r="X130" s="43">
        <f t="shared" si="33"/>
        <v>0</v>
      </c>
      <c r="Y130" s="34" t="s">
        <v>196</v>
      </c>
      <c r="Z130" s="18">
        <f t="shared" si="34"/>
        <v>0</v>
      </c>
      <c r="AA130" s="18">
        <f t="shared" si="35"/>
        <v>0</v>
      </c>
      <c r="AB130" s="18">
        <f t="shared" si="36"/>
        <v>2270</v>
      </c>
      <c r="AD130" s="43">
        <v>21</v>
      </c>
      <c r="AE130" s="43">
        <f>G130*0.413389830508475</f>
        <v>469.19745762711915</v>
      </c>
      <c r="AF130" s="43">
        <f>G130*(1-0.413389830508475)</f>
        <v>665.80254237288091</v>
      </c>
      <c r="AG130" s="38" t="s">
        <v>13</v>
      </c>
      <c r="AM130" s="43">
        <f t="shared" si="37"/>
        <v>938.3949152542383</v>
      </c>
      <c r="AN130" s="43">
        <f t="shared" si="38"/>
        <v>1331.6050847457618</v>
      </c>
      <c r="AO130" s="44" t="s">
        <v>668</v>
      </c>
      <c r="AP130" s="44" t="s">
        <v>690</v>
      </c>
      <c r="AQ130" s="34" t="s">
        <v>712</v>
      </c>
      <c r="AS130" s="43">
        <f t="shared" si="39"/>
        <v>2270</v>
      </c>
      <c r="AT130" s="43">
        <f t="shared" si="40"/>
        <v>1135</v>
      </c>
      <c r="AU130" s="43">
        <v>0</v>
      </c>
      <c r="AV130" s="43">
        <f t="shared" si="41"/>
        <v>1.6800000000000001E-3</v>
      </c>
    </row>
    <row r="131" spans="1:48">
      <c r="A131" s="5" t="s">
        <v>64</v>
      </c>
      <c r="B131" s="5" t="s">
        <v>196</v>
      </c>
      <c r="C131" s="5" t="s">
        <v>254</v>
      </c>
      <c r="D131" s="84" t="s">
        <v>452</v>
      </c>
      <c r="E131" s="5" t="s">
        <v>622</v>
      </c>
      <c r="F131" s="76">
        <v>2</v>
      </c>
      <c r="G131" s="25">
        <v>260</v>
      </c>
      <c r="H131" s="18">
        <f t="shared" si="22"/>
        <v>17.360629921259818</v>
      </c>
      <c r="I131" s="18">
        <f t="shared" si="23"/>
        <v>502.63937007874017</v>
      </c>
      <c r="J131" s="18">
        <f t="shared" si="24"/>
        <v>520</v>
      </c>
      <c r="K131" s="18">
        <v>4.0000000000000003E-5</v>
      </c>
      <c r="L131" s="18">
        <f t="shared" si="25"/>
        <v>8.0000000000000007E-5</v>
      </c>
      <c r="M131" s="38" t="s">
        <v>643</v>
      </c>
      <c r="P131" s="43">
        <f t="shared" si="26"/>
        <v>0</v>
      </c>
      <c r="R131" s="43">
        <f t="shared" si="27"/>
        <v>0</v>
      </c>
      <c r="S131" s="43">
        <f t="shared" si="28"/>
        <v>0</v>
      </c>
      <c r="T131" s="43">
        <f t="shared" si="29"/>
        <v>17.360629921259818</v>
      </c>
      <c r="U131" s="43">
        <f t="shared" si="30"/>
        <v>502.63937007874017</v>
      </c>
      <c r="V131" s="43">
        <f t="shared" si="31"/>
        <v>0</v>
      </c>
      <c r="W131" s="43">
        <f t="shared" si="32"/>
        <v>0</v>
      </c>
      <c r="X131" s="43">
        <f t="shared" si="33"/>
        <v>0</v>
      </c>
      <c r="Y131" s="34" t="s">
        <v>196</v>
      </c>
      <c r="Z131" s="18">
        <f t="shared" si="34"/>
        <v>0</v>
      </c>
      <c r="AA131" s="18">
        <f t="shared" si="35"/>
        <v>0</v>
      </c>
      <c r="AB131" s="18">
        <f t="shared" si="36"/>
        <v>520</v>
      </c>
      <c r="AD131" s="43">
        <v>21</v>
      </c>
      <c r="AE131" s="43">
        <f>G131*0.0333858267716535</f>
        <v>8.680314960629909</v>
      </c>
      <c r="AF131" s="43">
        <f>G131*(1-0.0333858267716535)</f>
        <v>251.31968503937009</v>
      </c>
      <c r="AG131" s="38" t="s">
        <v>13</v>
      </c>
      <c r="AM131" s="43">
        <f t="shared" si="37"/>
        <v>17.360629921259818</v>
      </c>
      <c r="AN131" s="43">
        <f t="shared" si="38"/>
        <v>502.63937007874017</v>
      </c>
      <c r="AO131" s="44" t="s">
        <v>668</v>
      </c>
      <c r="AP131" s="44" t="s">
        <v>690</v>
      </c>
      <c r="AQ131" s="34" t="s">
        <v>712</v>
      </c>
      <c r="AS131" s="43">
        <f t="shared" si="39"/>
        <v>520</v>
      </c>
      <c r="AT131" s="43">
        <f t="shared" si="40"/>
        <v>260</v>
      </c>
      <c r="AU131" s="43">
        <v>0</v>
      </c>
      <c r="AV131" s="43">
        <f t="shared" si="41"/>
        <v>8.0000000000000007E-5</v>
      </c>
    </row>
    <row r="132" spans="1:48">
      <c r="A132" s="5" t="s">
        <v>65</v>
      </c>
      <c r="B132" s="5" t="s">
        <v>196</v>
      </c>
      <c r="C132" s="5" t="s">
        <v>255</v>
      </c>
      <c r="D132" s="84" t="s">
        <v>453</v>
      </c>
      <c r="E132" s="5" t="s">
        <v>622</v>
      </c>
      <c r="F132" s="76">
        <v>4</v>
      </c>
      <c r="G132" s="25">
        <v>95</v>
      </c>
      <c r="H132" s="18">
        <f t="shared" si="22"/>
        <v>170.65984654731446</v>
      </c>
      <c r="I132" s="18">
        <f t="shared" si="23"/>
        <v>209.34015345268554</v>
      </c>
      <c r="J132" s="18">
        <f t="shared" si="24"/>
        <v>380</v>
      </c>
      <c r="K132" s="18">
        <v>4.0000000000000003E-5</v>
      </c>
      <c r="L132" s="18">
        <f t="shared" si="25"/>
        <v>1.6000000000000001E-4</v>
      </c>
      <c r="M132" s="38" t="s">
        <v>643</v>
      </c>
      <c r="P132" s="43">
        <f t="shared" si="26"/>
        <v>0</v>
      </c>
      <c r="R132" s="43">
        <f t="shared" si="27"/>
        <v>0</v>
      </c>
      <c r="S132" s="43">
        <f t="shared" si="28"/>
        <v>0</v>
      </c>
      <c r="T132" s="43">
        <f t="shared" si="29"/>
        <v>170.65984654731446</v>
      </c>
      <c r="U132" s="43">
        <f t="shared" si="30"/>
        <v>209.34015345268554</v>
      </c>
      <c r="V132" s="43">
        <f t="shared" si="31"/>
        <v>0</v>
      </c>
      <c r="W132" s="43">
        <f t="shared" si="32"/>
        <v>0</v>
      </c>
      <c r="X132" s="43">
        <f t="shared" si="33"/>
        <v>0</v>
      </c>
      <c r="Y132" s="34" t="s">
        <v>196</v>
      </c>
      <c r="Z132" s="18">
        <f t="shared" si="34"/>
        <v>0</v>
      </c>
      <c r="AA132" s="18">
        <f t="shared" si="35"/>
        <v>0</v>
      </c>
      <c r="AB132" s="18">
        <f t="shared" si="36"/>
        <v>380</v>
      </c>
      <c r="AD132" s="43">
        <v>21</v>
      </c>
      <c r="AE132" s="43">
        <f>G132*0.449104859335038</f>
        <v>42.664961636828615</v>
      </c>
      <c r="AF132" s="43">
        <f>G132*(1-0.449104859335038)</f>
        <v>52.335038363171392</v>
      </c>
      <c r="AG132" s="38" t="s">
        <v>13</v>
      </c>
      <c r="AM132" s="43">
        <f t="shared" si="37"/>
        <v>170.65984654731446</v>
      </c>
      <c r="AN132" s="43">
        <f t="shared" si="38"/>
        <v>209.34015345268557</v>
      </c>
      <c r="AO132" s="44" t="s">
        <v>668</v>
      </c>
      <c r="AP132" s="44" t="s">
        <v>690</v>
      </c>
      <c r="AQ132" s="34" t="s">
        <v>712</v>
      </c>
      <c r="AS132" s="43">
        <f t="shared" si="39"/>
        <v>380</v>
      </c>
      <c r="AT132" s="43">
        <f t="shared" si="40"/>
        <v>95</v>
      </c>
      <c r="AU132" s="43">
        <v>0</v>
      </c>
      <c r="AV132" s="43">
        <f t="shared" si="41"/>
        <v>1.6000000000000001E-4</v>
      </c>
    </row>
    <row r="133" spans="1:48" ht="25.5">
      <c r="A133" s="5" t="s">
        <v>66</v>
      </c>
      <c r="B133" s="5" t="s">
        <v>196</v>
      </c>
      <c r="C133" s="5" t="s">
        <v>256</v>
      </c>
      <c r="D133" s="84" t="s">
        <v>454</v>
      </c>
      <c r="E133" s="5" t="s">
        <v>623</v>
      </c>
      <c r="F133" s="76">
        <v>2</v>
      </c>
      <c r="G133" s="25">
        <v>4656</v>
      </c>
      <c r="H133" s="18">
        <f t="shared" si="22"/>
        <v>6518.4227121951189</v>
      </c>
      <c r="I133" s="18">
        <f t="shared" si="23"/>
        <v>2793.5772878048811</v>
      </c>
      <c r="J133" s="18">
        <f t="shared" si="24"/>
        <v>9312</v>
      </c>
      <c r="K133" s="18">
        <v>8.4000000000000003E-4</v>
      </c>
      <c r="L133" s="18">
        <f t="shared" si="25"/>
        <v>1.6800000000000001E-3</v>
      </c>
      <c r="M133" s="38" t="s">
        <v>643</v>
      </c>
      <c r="P133" s="43">
        <f t="shared" si="26"/>
        <v>0</v>
      </c>
      <c r="R133" s="43">
        <f t="shared" si="27"/>
        <v>0</v>
      </c>
      <c r="S133" s="43">
        <f t="shared" si="28"/>
        <v>0</v>
      </c>
      <c r="T133" s="43">
        <f t="shared" si="29"/>
        <v>6518.4227121951189</v>
      </c>
      <c r="U133" s="43">
        <f t="shared" si="30"/>
        <v>2793.5772878048811</v>
      </c>
      <c r="V133" s="43">
        <f t="shared" si="31"/>
        <v>0</v>
      </c>
      <c r="W133" s="43">
        <f t="shared" si="32"/>
        <v>0</v>
      </c>
      <c r="X133" s="43">
        <f t="shared" si="33"/>
        <v>0</v>
      </c>
      <c r="Y133" s="34" t="s">
        <v>196</v>
      </c>
      <c r="Z133" s="18">
        <f t="shared" si="34"/>
        <v>0</v>
      </c>
      <c r="AA133" s="18">
        <f t="shared" si="35"/>
        <v>0</v>
      </c>
      <c r="AB133" s="18">
        <f t="shared" si="36"/>
        <v>9312</v>
      </c>
      <c r="AD133" s="43">
        <v>21</v>
      </c>
      <c r="AE133" s="43">
        <f>G133*0.70000243902439</f>
        <v>3259.2113560975595</v>
      </c>
      <c r="AF133" s="43">
        <f>G133*(1-0.70000243902439)</f>
        <v>1396.7886439024403</v>
      </c>
      <c r="AG133" s="38" t="s">
        <v>13</v>
      </c>
      <c r="AM133" s="43">
        <f t="shared" si="37"/>
        <v>6518.4227121951189</v>
      </c>
      <c r="AN133" s="43">
        <f t="shared" si="38"/>
        <v>2793.5772878048806</v>
      </c>
      <c r="AO133" s="44" t="s">
        <v>668</v>
      </c>
      <c r="AP133" s="44" t="s">
        <v>690</v>
      </c>
      <c r="AQ133" s="34" t="s">
        <v>712</v>
      </c>
      <c r="AS133" s="43">
        <f t="shared" si="39"/>
        <v>9312</v>
      </c>
      <c r="AT133" s="43">
        <f t="shared" si="40"/>
        <v>4656</v>
      </c>
      <c r="AU133" s="43">
        <v>0</v>
      </c>
      <c r="AV133" s="43">
        <f t="shared" si="41"/>
        <v>1.6800000000000001E-3</v>
      </c>
    </row>
    <row r="134" spans="1:48">
      <c r="A134" s="5" t="s">
        <v>67</v>
      </c>
      <c r="B134" s="5" t="s">
        <v>196</v>
      </c>
      <c r="C134" s="5" t="s">
        <v>257</v>
      </c>
      <c r="D134" s="84" t="s">
        <v>455</v>
      </c>
      <c r="E134" s="5" t="s">
        <v>623</v>
      </c>
      <c r="F134" s="76">
        <v>2</v>
      </c>
      <c r="G134" s="25">
        <v>7800</v>
      </c>
      <c r="H134" s="18">
        <f t="shared" si="22"/>
        <v>9360</v>
      </c>
      <c r="I134" s="18">
        <f t="shared" si="23"/>
        <v>6240</v>
      </c>
      <c r="J134" s="18">
        <f t="shared" si="24"/>
        <v>15600</v>
      </c>
      <c r="K134" s="18">
        <v>8.4000000000000003E-4</v>
      </c>
      <c r="L134" s="18">
        <f t="shared" si="25"/>
        <v>1.6800000000000001E-3</v>
      </c>
      <c r="M134" s="38" t="s">
        <v>643</v>
      </c>
      <c r="P134" s="43">
        <f t="shared" si="26"/>
        <v>0</v>
      </c>
      <c r="R134" s="43">
        <f t="shared" si="27"/>
        <v>0</v>
      </c>
      <c r="S134" s="43">
        <f t="shared" si="28"/>
        <v>0</v>
      </c>
      <c r="T134" s="43">
        <f t="shared" si="29"/>
        <v>9360</v>
      </c>
      <c r="U134" s="43">
        <f t="shared" si="30"/>
        <v>6240</v>
      </c>
      <c r="V134" s="43">
        <f t="shared" si="31"/>
        <v>0</v>
      </c>
      <c r="W134" s="43">
        <f t="shared" si="32"/>
        <v>0</v>
      </c>
      <c r="X134" s="43">
        <f t="shared" si="33"/>
        <v>0</v>
      </c>
      <c r="Y134" s="34" t="s">
        <v>196</v>
      </c>
      <c r="Z134" s="18">
        <f t="shared" si="34"/>
        <v>0</v>
      </c>
      <c r="AA134" s="18">
        <f t="shared" si="35"/>
        <v>0</v>
      </c>
      <c r="AB134" s="18">
        <f t="shared" si="36"/>
        <v>15600</v>
      </c>
      <c r="AD134" s="43">
        <v>21</v>
      </c>
      <c r="AE134" s="43">
        <f>G134*0.6</f>
        <v>4680</v>
      </c>
      <c r="AF134" s="43">
        <f>G134*(1-0.6)</f>
        <v>3120</v>
      </c>
      <c r="AG134" s="38" t="s">
        <v>13</v>
      </c>
      <c r="AM134" s="43">
        <f t="shared" si="37"/>
        <v>9360</v>
      </c>
      <c r="AN134" s="43">
        <f t="shared" si="38"/>
        <v>6240</v>
      </c>
      <c r="AO134" s="44" t="s">
        <v>668</v>
      </c>
      <c r="AP134" s="44" t="s">
        <v>690</v>
      </c>
      <c r="AQ134" s="34" t="s">
        <v>712</v>
      </c>
      <c r="AS134" s="43">
        <f t="shared" si="39"/>
        <v>15600</v>
      </c>
      <c r="AT134" s="43">
        <f t="shared" si="40"/>
        <v>7800</v>
      </c>
      <c r="AU134" s="43">
        <v>0</v>
      </c>
      <c r="AV134" s="43">
        <f t="shared" si="41"/>
        <v>1.6800000000000001E-3</v>
      </c>
    </row>
    <row r="135" spans="1:48">
      <c r="A135" s="5" t="s">
        <v>68</v>
      </c>
      <c r="B135" s="5" t="s">
        <v>196</v>
      </c>
      <c r="C135" s="5" t="s">
        <v>258</v>
      </c>
      <c r="D135" s="84" t="s">
        <v>456</v>
      </c>
      <c r="E135" s="5" t="s">
        <v>623</v>
      </c>
      <c r="F135" s="76">
        <v>2</v>
      </c>
      <c r="G135" s="25">
        <v>19176</v>
      </c>
      <c r="H135" s="18">
        <f t="shared" si="22"/>
        <v>23011.222297674423</v>
      </c>
      <c r="I135" s="18">
        <f t="shared" si="23"/>
        <v>15340.777702325577</v>
      </c>
      <c r="J135" s="18">
        <f t="shared" si="24"/>
        <v>38352</v>
      </c>
      <c r="K135" s="18">
        <v>8.4000000000000003E-4</v>
      </c>
      <c r="L135" s="18">
        <f t="shared" si="25"/>
        <v>1.6800000000000001E-3</v>
      </c>
      <c r="M135" s="38" t="s">
        <v>643</v>
      </c>
      <c r="P135" s="43">
        <f t="shared" si="26"/>
        <v>0</v>
      </c>
      <c r="R135" s="43">
        <f t="shared" si="27"/>
        <v>0</v>
      </c>
      <c r="S135" s="43">
        <f t="shared" si="28"/>
        <v>0</v>
      </c>
      <c r="T135" s="43">
        <f t="shared" si="29"/>
        <v>23011.222297674423</v>
      </c>
      <c r="U135" s="43">
        <f t="shared" si="30"/>
        <v>15340.777702325577</v>
      </c>
      <c r="V135" s="43">
        <f t="shared" si="31"/>
        <v>0</v>
      </c>
      <c r="W135" s="43">
        <f t="shared" si="32"/>
        <v>0</v>
      </c>
      <c r="X135" s="43">
        <f t="shared" si="33"/>
        <v>0</v>
      </c>
      <c r="Y135" s="34" t="s">
        <v>196</v>
      </c>
      <c r="Z135" s="18">
        <f t="shared" si="34"/>
        <v>0</v>
      </c>
      <c r="AA135" s="18">
        <f t="shared" si="35"/>
        <v>0</v>
      </c>
      <c r="AB135" s="18">
        <f t="shared" si="36"/>
        <v>38352</v>
      </c>
      <c r="AD135" s="43">
        <v>21</v>
      </c>
      <c r="AE135" s="43">
        <f>G135*0.600000581395349</f>
        <v>11505.611148837212</v>
      </c>
      <c r="AF135" s="43">
        <f>G135*(1-0.600000581395349)</f>
        <v>7670.3888511627883</v>
      </c>
      <c r="AG135" s="38" t="s">
        <v>13</v>
      </c>
      <c r="AM135" s="43">
        <f t="shared" si="37"/>
        <v>23011.222297674423</v>
      </c>
      <c r="AN135" s="43">
        <f t="shared" si="38"/>
        <v>15340.777702325577</v>
      </c>
      <c r="AO135" s="44" t="s">
        <v>668</v>
      </c>
      <c r="AP135" s="44" t="s">
        <v>690</v>
      </c>
      <c r="AQ135" s="34" t="s">
        <v>712</v>
      </c>
      <c r="AS135" s="43">
        <f t="shared" si="39"/>
        <v>38352</v>
      </c>
      <c r="AT135" s="43">
        <f t="shared" si="40"/>
        <v>19176</v>
      </c>
      <c r="AU135" s="43">
        <v>0</v>
      </c>
      <c r="AV135" s="43">
        <f t="shared" si="41"/>
        <v>1.6800000000000001E-3</v>
      </c>
    </row>
    <row r="136" spans="1:48">
      <c r="A136" s="4"/>
      <c r="B136" s="14" t="s">
        <v>196</v>
      </c>
      <c r="C136" s="14" t="s">
        <v>259</v>
      </c>
      <c r="D136" s="83" t="s">
        <v>457</v>
      </c>
      <c r="E136" s="4" t="s">
        <v>6</v>
      </c>
      <c r="F136" s="4" t="s">
        <v>6</v>
      </c>
      <c r="G136" s="24" t="s">
        <v>6</v>
      </c>
      <c r="H136" s="46">
        <f>SUM(H137:H144)</f>
        <v>11460.650122122119</v>
      </c>
      <c r="I136" s="46">
        <f>SUM(I137:I144)</f>
        <v>13959.557877877882</v>
      </c>
      <c r="J136" s="46">
        <f>H136+I136</f>
        <v>25420.207999999999</v>
      </c>
      <c r="K136" s="34"/>
      <c r="L136" s="46">
        <f>SUM(L137:L144)</f>
        <v>2.046192</v>
      </c>
      <c r="M136" s="34"/>
      <c r="Y136" s="34" t="s">
        <v>196</v>
      </c>
      <c r="AI136" s="46">
        <f>SUM(Z137:Z144)</f>
        <v>0</v>
      </c>
      <c r="AJ136" s="46">
        <f>SUM(AA137:AA144)</f>
        <v>0</v>
      </c>
      <c r="AK136" s="46">
        <f>SUM(AB137:AB144)</f>
        <v>25420.207999999999</v>
      </c>
    </row>
    <row r="137" spans="1:48">
      <c r="A137" s="5" t="s">
        <v>69</v>
      </c>
      <c r="B137" s="5" t="s">
        <v>196</v>
      </c>
      <c r="C137" s="5" t="s">
        <v>260</v>
      </c>
      <c r="D137" s="84" t="s">
        <v>458</v>
      </c>
      <c r="E137" s="5" t="s">
        <v>620</v>
      </c>
      <c r="F137" s="76">
        <v>18.8</v>
      </c>
      <c r="G137" s="25">
        <v>202.5</v>
      </c>
      <c r="H137" s="18">
        <f>F137*AE137</f>
        <v>0</v>
      </c>
      <c r="I137" s="18">
        <f>J137-H137</f>
        <v>3807</v>
      </c>
      <c r="J137" s="18">
        <f>F137*G137</f>
        <v>3807</v>
      </c>
      <c r="K137" s="18">
        <v>8.6999999999999994E-2</v>
      </c>
      <c r="L137" s="18">
        <f>F137*K137</f>
        <v>1.6355999999999999</v>
      </c>
      <c r="M137" s="38" t="s">
        <v>643</v>
      </c>
      <c r="P137" s="43">
        <f>IF(AG137="5",J137,0)</f>
        <v>0</v>
      </c>
      <c r="R137" s="43">
        <f>IF(AG137="1",H137,0)</f>
        <v>0</v>
      </c>
      <c r="S137" s="43">
        <f>IF(AG137="1",I137,0)</f>
        <v>0</v>
      </c>
      <c r="T137" s="43">
        <f>IF(AG137="7",H137,0)</f>
        <v>0</v>
      </c>
      <c r="U137" s="43">
        <f>IF(AG137="7",I137,0)</f>
        <v>3807</v>
      </c>
      <c r="V137" s="43">
        <f>IF(AG137="2",H137,0)</f>
        <v>0</v>
      </c>
      <c r="W137" s="43">
        <f>IF(AG137="2",I137,0)</f>
        <v>0</v>
      </c>
      <c r="X137" s="43">
        <f>IF(AG137="0",J137,0)</f>
        <v>0</v>
      </c>
      <c r="Y137" s="34" t="s">
        <v>196</v>
      </c>
      <c r="Z137" s="18">
        <f>IF(AD137=0,J137,0)</f>
        <v>0</v>
      </c>
      <c r="AA137" s="18">
        <f>IF(AD137=15,J137,0)</f>
        <v>0</v>
      </c>
      <c r="AB137" s="18">
        <f>IF(AD137=21,J137,0)</f>
        <v>3807</v>
      </c>
      <c r="AD137" s="43">
        <v>21</v>
      </c>
      <c r="AE137" s="43">
        <f>G137*0</f>
        <v>0</v>
      </c>
      <c r="AF137" s="43">
        <f>G137*(1-0)</f>
        <v>202.5</v>
      </c>
      <c r="AG137" s="38" t="s">
        <v>13</v>
      </c>
      <c r="AM137" s="43">
        <f>F137*AE137</f>
        <v>0</v>
      </c>
      <c r="AN137" s="43">
        <f>F137*AF137</f>
        <v>3807</v>
      </c>
      <c r="AO137" s="44" t="s">
        <v>669</v>
      </c>
      <c r="AP137" s="44" t="s">
        <v>691</v>
      </c>
      <c r="AQ137" s="34" t="s">
        <v>712</v>
      </c>
      <c r="AS137" s="43">
        <f>AM137+AN137</f>
        <v>3807</v>
      </c>
      <c r="AT137" s="43">
        <f>G137/(100-AU137)*100</f>
        <v>202.5</v>
      </c>
      <c r="AU137" s="43">
        <v>0</v>
      </c>
      <c r="AV137" s="43">
        <f>L137</f>
        <v>1.6355999999999999</v>
      </c>
    </row>
    <row r="138" spans="1:48">
      <c r="D138" s="85" t="s">
        <v>441</v>
      </c>
      <c r="F138" s="77">
        <v>18.8</v>
      </c>
      <c r="G138" s="26"/>
    </row>
    <row r="139" spans="1:48">
      <c r="A139" s="5" t="s">
        <v>70</v>
      </c>
      <c r="B139" s="5" t="s">
        <v>196</v>
      </c>
      <c r="C139" s="5" t="s">
        <v>261</v>
      </c>
      <c r="D139" s="84" t="s">
        <v>459</v>
      </c>
      <c r="E139" s="5" t="s">
        <v>620</v>
      </c>
      <c r="F139" s="76">
        <v>18.8</v>
      </c>
      <c r="G139" s="25">
        <v>586</v>
      </c>
      <c r="H139" s="18">
        <f>F139*AE139</f>
        <v>1985.4501221221199</v>
      </c>
      <c r="I139" s="18">
        <f>J139-H139</f>
        <v>9031.3498778778812</v>
      </c>
      <c r="J139" s="18">
        <f>F139*G139</f>
        <v>11016.800000000001</v>
      </c>
      <c r="K139" s="18">
        <v>2.9399999999999999E-3</v>
      </c>
      <c r="L139" s="18">
        <f>F139*K139</f>
        <v>5.5272000000000002E-2</v>
      </c>
      <c r="M139" s="38" t="s">
        <v>643</v>
      </c>
      <c r="P139" s="43">
        <f>IF(AG139="5",J139,0)</f>
        <v>0</v>
      </c>
      <c r="R139" s="43">
        <f>IF(AG139="1",H139,0)</f>
        <v>0</v>
      </c>
      <c r="S139" s="43">
        <f>IF(AG139="1",I139,0)</f>
        <v>0</v>
      </c>
      <c r="T139" s="43">
        <f>IF(AG139="7",H139,0)</f>
        <v>1985.4501221221199</v>
      </c>
      <c r="U139" s="43">
        <f>IF(AG139="7",I139,0)</f>
        <v>9031.3498778778812</v>
      </c>
      <c r="V139" s="43">
        <f>IF(AG139="2",H139,0)</f>
        <v>0</v>
      </c>
      <c r="W139" s="43">
        <f>IF(AG139="2",I139,0)</f>
        <v>0</v>
      </c>
      <c r="X139" s="43">
        <f>IF(AG139="0",J139,0)</f>
        <v>0</v>
      </c>
      <c r="Y139" s="34" t="s">
        <v>196</v>
      </c>
      <c r="Z139" s="18">
        <f>IF(AD139=0,J139,0)</f>
        <v>0</v>
      </c>
      <c r="AA139" s="18">
        <f>IF(AD139=15,J139,0)</f>
        <v>0</v>
      </c>
      <c r="AB139" s="18">
        <f>IF(AD139=21,J139,0)</f>
        <v>11016.800000000001</v>
      </c>
      <c r="AD139" s="43">
        <v>21</v>
      </c>
      <c r="AE139" s="43">
        <f>G139*0.18022022022022</f>
        <v>105.60904904904892</v>
      </c>
      <c r="AF139" s="43">
        <f>G139*(1-0.18022022022022)</f>
        <v>480.39095095095109</v>
      </c>
      <c r="AG139" s="38" t="s">
        <v>13</v>
      </c>
      <c r="AM139" s="43">
        <f>F139*AE139</f>
        <v>1985.4501221221199</v>
      </c>
      <c r="AN139" s="43">
        <f>F139*AF139</f>
        <v>9031.3498778778812</v>
      </c>
      <c r="AO139" s="44" t="s">
        <v>669</v>
      </c>
      <c r="AP139" s="44" t="s">
        <v>691</v>
      </c>
      <c r="AQ139" s="34" t="s">
        <v>712</v>
      </c>
      <c r="AS139" s="43">
        <f>AM139+AN139</f>
        <v>11016.800000000001</v>
      </c>
      <c r="AT139" s="43">
        <f>G139/(100-AU139)*100</f>
        <v>586</v>
      </c>
      <c r="AU139" s="43">
        <v>0</v>
      </c>
      <c r="AV139" s="43">
        <f>L139</f>
        <v>5.5272000000000002E-2</v>
      </c>
    </row>
    <row r="140" spans="1:48">
      <c r="D140" s="85" t="s">
        <v>441</v>
      </c>
      <c r="F140" s="77">
        <v>18.8</v>
      </c>
      <c r="G140" s="26"/>
    </row>
    <row r="141" spans="1:48">
      <c r="A141" s="6" t="s">
        <v>71</v>
      </c>
      <c r="B141" s="6" t="s">
        <v>196</v>
      </c>
      <c r="C141" s="6" t="s">
        <v>262</v>
      </c>
      <c r="D141" s="86" t="s">
        <v>460</v>
      </c>
      <c r="E141" s="6" t="s">
        <v>620</v>
      </c>
      <c r="F141" s="78">
        <v>19.739999999999998</v>
      </c>
      <c r="G141" s="27">
        <v>480</v>
      </c>
      <c r="H141" s="19">
        <f>F141*AE141</f>
        <v>9475.1999999999989</v>
      </c>
      <c r="I141" s="19">
        <f>J141-H141</f>
        <v>0</v>
      </c>
      <c r="J141" s="19">
        <f>F141*G141</f>
        <v>9475.1999999999989</v>
      </c>
      <c r="K141" s="19">
        <v>1.7999999999999999E-2</v>
      </c>
      <c r="L141" s="19">
        <f>F141*K141</f>
        <v>0.35531999999999997</v>
      </c>
      <c r="M141" s="39" t="s">
        <v>643</v>
      </c>
      <c r="P141" s="43">
        <f>IF(AG141="5",J141,0)</f>
        <v>0</v>
      </c>
      <c r="R141" s="43">
        <f>IF(AG141="1",H141,0)</f>
        <v>0</v>
      </c>
      <c r="S141" s="43">
        <f>IF(AG141="1",I141,0)</f>
        <v>0</v>
      </c>
      <c r="T141" s="43">
        <f>IF(AG141="7",H141,0)</f>
        <v>9475.1999999999989</v>
      </c>
      <c r="U141" s="43">
        <f>IF(AG141="7",I141,0)</f>
        <v>0</v>
      </c>
      <c r="V141" s="43">
        <f>IF(AG141="2",H141,0)</f>
        <v>0</v>
      </c>
      <c r="W141" s="43">
        <f>IF(AG141="2",I141,0)</f>
        <v>0</v>
      </c>
      <c r="X141" s="43">
        <f>IF(AG141="0",J141,0)</f>
        <v>0</v>
      </c>
      <c r="Y141" s="34" t="s">
        <v>196</v>
      </c>
      <c r="Z141" s="19">
        <f>IF(AD141=0,J141,0)</f>
        <v>0</v>
      </c>
      <c r="AA141" s="19">
        <f>IF(AD141=15,J141,0)</f>
        <v>0</v>
      </c>
      <c r="AB141" s="19">
        <f>IF(AD141=21,J141,0)</f>
        <v>9475.1999999999989</v>
      </c>
      <c r="AD141" s="43">
        <v>21</v>
      </c>
      <c r="AE141" s="43">
        <f>G141*1</f>
        <v>480</v>
      </c>
      <c r="AF141" s="43">
        <f>G141*(1-1)</f>
        <v>0</v>
      </c>
      <c r="AG141" s="39" t="s">
        <v>13</v>
      </c>
      <c r="AM141" s="43">
        <f>F141*AE141</f>
        <v>9475.1999999999989</v>
      </c>
      <c r="AN141" s="43">
        <f>F141*AF141</f>
        <v>0</v>
      </c>
      <c r="AO141" s="44" t="s">
        <v>669</v>
      </c>
      <c r="AP141" s="44" t="s">
        <v>691</v>
      </c>
      <c r="AQ141" s="34" t="s">
        <v>712</v>
      </c>
      <c r="AS141" s="43">
        <f>AM141+AN141</f>
        <v>9475.1999999999989</v>
      </c>
      <c r="AT141" s="43">
        <f>G141/(100-AU141)*100</f>
        <v>480</v>
      </c>
      <c r="AU141" s="43">
        <v>0</v>
      </c>
      <c r="AV141" s="43">
        <f>L141</f>
        <v>0.35531999999999997</v>
      </c>
    </row>
    <row r="142" spans="1:48">
      <c r="D142" s="85" t="s">
        <v>441</v>
      </c>
      <c r="F142" s="77">
        <v>18.8</v>
      </c>
      <c r="G142" s="26"/>
    </row>
    <row r="143" spans="1:48">
      <c r="D143" s="85" t="s">
        <v>461</v>
      </c>
      <c r="F143" s="77">
        <v>0.94</v>
      </c>
      <c r="G143" s="26"/>
    </row>
    <row r="144" spans="1:48">
      <c r="A144" s="5" t="s">
        <v>72</v>
      </c>
      <c r="B144" s="5" t="s">
        <v>196</v>
      </c>
      <c r="C144" s="5" t="s">
        <v>263</v>
      </c>
      <c r="D144" s="84" t="s">
        <v>462</v>
      </c>
      <c r="E144" s="5" t="s">
        <v>621</v>
      </c>
      <c r="F144" s="76">
        <v>2.0459999999999998</v>
      </c>
      <c r="G144" s="25">
        <v>548</v>
      </c>
      <c r="H144" s="18">
        <f>F144*AE144</f>
        <v>0</v>
      </c>
      <c r="I144" s="18">
        <f>J144-H144</f>
        <v>1121.2079999999999</v>
      </c>
      <c r="J144" s="18">
        <f>F144*G144</f>
        <v>1121.2079999999999</v>
      </c>
      <c r="K144" s="18">
        <v>0</v>
      </c>
      <c r="L144" s="18">
        <f>F144*K144</f>
        <v>0</v>
      </c>
      <c r="M144" s="38" t="s">
        <v>643</v>
      </c>
      <c r="P144" s="43">
        <f>IF(AG144="5",J144,0)</f>
        <v>1121.2079999999999</v>
      </c>
      <c r="R144" s="43">
        <f>IF(AG144="1",H144,0)</f>
        <v>0</v>
      </c>
      <c r="S144" s="43">
        <f>IF(AG144="1",I144,0)</f>
        <v>0</v>
      </c>
      <c r="T144" s="43">
        <f>IF(AG144="7",H144,0)</f>
        <v>0</v>
      </c>
      <c r="U144" s="43">
        <f>IF(AG144="7",I144,0)</f>
        <v>0</v>
      </c>
      <c r="V144" s="43">
        <f>IF(AG144="2",H144,0)</f>
        <v>0</v>
      </c>
      <c r="W144" s="43">
        <f>IF(AG144="2",I144,0)</f>
        <v>0</v>
      </c>
      <c r="X144" s="43">
        <f>IF(AG144="0",J144,0)</f>
        <v>0</v>
      </c>
      <c r="Y144" s="34" t="s">
        <v>196</v>
      </c>
      <c r="Z144" s="18">
        <f>IF(AD144=0,J144,0)</f>
        <v>0</v>
      </c>
      <c r="AA144" s="18">
        <f>IF(AD144=15,J144,0)</f>
        <v>0</v>
      </c>
      <c r="AB144" s="18">
        <f>IF(AD144=21,J144,0)</f>
        <v>1121.2079999999999</v>
      </c>
      <c r="AD144" s="43">
        <v>21</v>
      </c>
      <c r="AE144" s="43">
        <f>G144*0</f>
        <v>0</v>
      </c>
      <c r="AF144" s="43">
        <f>G144*(1-0)</f>
        <v>548</v>
      </c>
      <c r="AG144" s="38" t="s">
        <v>11</v>
      </c>
      <c r="AM144" s="43">
        <f>F144*AE144</f>
        <v>0</v>
      </c>
      <c r="AN144" s="43">
        <f>F144*AF144</f>
        <v>1121.2079999999999</v>
      </c>
      <c r="AO144" s="44" t="s">
        <v>669</v>
      </c>
      <c r="AP144" s="44" t="s">
        <v>691</v>
      </c>
      <c r="AQ144" s="34" t="s">
        <v>712</v>
      </c>
      <c r="AS144" s="43">
        <f>AM144+AN144</f>
        <v>1121.2079999999999</v>
      </c>
      <c r="AT144" s="43">
        <f>G144/(100-AU144)*100</f>
        <v>548</v>
      </c>
      <c r="AU144" s="43">
        <v>0</v>
      </c>
      <c r="AV144" s="43">
        <f>L144</f>
        <v>0</v>
      </c>
    </row>
    <row r="145" spans="1:48">
      <c r="A145" s="4"/>
      <c r="B145" s="14" t="s">
        <v>196</v>
      </c>
      <c r="C145" s="14" t="s">
        <v>264</v>
      </c>
      <c r="D145" s="83" t="s">
        <v>463</v>
      </c>
      <c r="E145" s="4" t="s">
        <v>6</v>
      </c>
      <c r="F145" s="4" t="s">
        <v>6</v>
      </c>
      <c r="G145" s="24" t="s">
        <v>6</v>
      </c>
      <c r="H145" s="46">
        <f>SUM(H146:H153)</f>
        <v>23066.722899120308</v>
      </c>
      <c r="I145" s="46">
        <f>SUM(I146:I153)</f>
        <v>33383.037100879694</v>
      </c>
      <c r="J145" s="46">
        <f>H145+I145</f>
        <v>56449.760000000002</v>
      </c>
      <c r="K145" s="34"/>
      <c r="L145" s="46">
        <f>SUM(L146:L153)</f>
        <v>1.0748334000000002</v>
      </c>
      <c r="M145" s="34"/>
      <c r="Y145" s="34" t="s">
        <v>196</v>
      </c>
      <c r="AI145" s="46">
        <f>SUM(Z146:Z153)</f>
        <v>0</v>
      </c>
      <c r="AJ145" s="46">
        <f>SUM(AA146:AA153)</f>
        <v>0</v>
      </c>
      <c r="AK145" s="46">
        <f>SUM(AB146:AB153)</f>
        <v>56449.760000000002</v>
      </c>
    </row>
    <row r="146" spans="1:48">
      <c r="A146" s="5" t="s">
        <v>73</v>
      </c>
      <c r="B146" s="5" t="s">
        <v>196</v>
      </c>
      <c r="C146" s="5" t="s">
        <v>265</v>
      </c>
      <c r="D146" s="84" t="s">
        <v>464</v>
      </c>
      <c r="E146" s="5" t="s">
        <v>620</v>
      </c>
      <c r="F146" s="76">
        <v>49.8</v>
      </c>
      <c r="G146" s="25">
        <v>46.7</v>
      </c>
      <c r="H146" s="18">
        <f>F146*AE146</f>
        <v>1154.7228991203076</v>
      </c>
      <c r="I146" s="18">
        <f>J146-H146</f>
        <v>1170.9371008796923</v>
      </c>
      <c r="J146" s="18">
        <f>F146*G146</f>
        <v>2325.66</v>
      </c>
      <c r="K146" s="18">
        <v>2.1000000000000001E-4</v>
      </c>
      <c r="L146" s="18">
        <f>F146*K146</f>
        <v>1.0458E-2</v>
      </c>
      <c r="M146" s="38" t="s">
        <v>643</v>
      </c>
      <c r="P146" s="43">
        <f>IF(AG146="5",J146,0)</f>
        <v>0</v>
      </c>
      <c r="R146" s="43">
        <f>IF(AG146="1",H146,0)</f>
        <v>0</v>
      </c>
      <c r="S146" s="43">
        <f>IF(AG146="1",I146,0)</f>
        <v>0</v>
      </c>
      <c r="T146" s="43">
        <f>IF(AG146="7",H146,0)</f>
        <v>1154.7228991203076</v>
      </c>
      <c r="U146" s="43">
        <f>IF(AG146="7",I146,0)</f>
        <v>1170.9371008796923</v>
      </c>
      <c r="V146" s="43">
        <f>IF(AG146="2",H146,0)</f>
        <v>0</v>
      </c>
      <c r="W146" s="43">
        <f>IF(AG146="2",I146,0)</f>
        <v>0</v>
      </c>
      <c r="X146" s="43">
        <f>IF(AG146="0",J146,0)</f>
        <v>0</v>
      </c>
      <c r="Y146" s="34" t="s">
        <v>196</v>
      </c>
      <c r="Z146" s="18">
        <f>IF(AD146=0,J146,0)</f>
        <v>0</v>
      </c>
      <c r="AA146" s="18">
        <f>IF(AD146=15,J146,0)</f>
        <v>0</v>
      </c>
      <c r="AB146" s="18">
        <f>IF(AD146=21,J146,0)</f>
        <v>2325.66</v>
      </c>
      <c r="AD146" s="43">
        <v>21</v>
      </c>
      <c r="AE146" s="43">
        <f>G146*0.496514064446354</f>
        <v>23.187206809644731</v>
      </c>
      <c r="AF146" s="43">
        <f>G146*(1-0.496514064446354)</f>
        <v>23.512793190355271</v>
      </c>
      <c r="AG146" s="38" t="s">
        <v>13</v>
      </c>
      <c r="AM146" s="43">
        <f>F146*AE146</f>
        <v>1154.7228991203076</v>
      </c>
      <c r="AN146" s="43">
        <f>F146*AF146</f>
        <v>1170.9371008796925</v>
      </c>
      <c r="AO146" s="44" t="s">
        <v>670</v>
      </c>
      <c r="AP146" s="44" t="s">
        <v>692</v>
      </c>
      <c r="AQ146" s="34" t="s">
        <v>712</v>
      </c>
      <c r="AS146" s="43">
        <f>AM146+AN146</f>
        <v>2325.66</v>
      </c>
      <c r="AT146" s="43">
        <f>G146/(100-AU146)*100</f>
        <v>46.7</v>
      </c>
      <c r="AU146" s="43">
        <v>0</v>
      </c>
      <c r="AV146" s="43">
        <f>L146</f>
        <v>1.0458E-2</v>
      </c>
    </row>
    <row r="147" spans="1:48">
      <c r="D147" s="85" t="s">
        <v>465</v>
      </c>
      <c r="F147" s="77">
        <v>49.8</v>
      </c>
      <c r="G147" s="26"/>
    </row>
    <row r="148" spans="1:48">
      <c r="A148" s="5" t="s">
        <v>74</v>
      </c>
      <c r="B148" s="5" t="s">
        <v>196</v>
      </c>
      <c r="C148" s="5" t="s">
        <v>266</v>
      </c>
      <c r="D148" s="84" t="s">
        <v>466</v>
      </c>
      <c r="E148" s="5" t="s">
        <v>620</v>
      </c>
      <c r="F148" s="76">
        <v>49.8</v>
      </c>
      <c r="G148" s="25">
        <v>635</v>
      </c>
      <c r="H148" s="18">
        <f>F148*AE148</f>
        <v>0</v>
      </c>
      <c r="I148" s="18">
        <f>J148-H148</f>
        <v>31623</v>
      </c>
      <c r="J148" s="18">
        <f>F148*G148</f>
        <v>31623</v>
      </c>
      <c r="K148" s="18">
        <v>0</v>
      </c>
      <c r="L148" s="18">
        <f>F148*K148</f>
        <v>0</v>
      </c>
      <c r="M148" s="38" t="s">
        <v>643</v>
      </c>
      <c r="P148" s="43">
        <f>IF(AG148="5",J148,0)</f>
        <v>0</v>
      </c>
      <c r="R148" s="43">
        <f>IF(AG148="1",H148,0)</f>
        <v>0</v>
      </c>
      <c r="S148" s="43">
        <f>IF(AG148="1",I148,0)</f>
        <v>0</v>
      </c>
      <c r="T148" s="43">
        <f>IF(AG148="7",H148,0)</f>
        <v>0</v>
      </c>
      <c r="U148" s="43">
        <f>IF(AG148="7",I148,0)</f>
        <v>31623</v>
      </c>
      <c r="V148" s="43">
        <f>IF(AG148="2",H148,0)</f>
        <v>0</v>
      </c>
      <c r="W148" s="43">
        <f>IF(AG148="2",I148,0)</f>
        <v>0</v>
      </c>
      <c r="X148" s="43">
        <f>IF(AG148="0",J148,0)</f>
        <v>0</v>
      </c>
      <c r="Y148" s="34" t="s">
        <v>196</v>
      </c>
      <c r="Z148" s="18">
        <f>IF(AD148=0,J148,0)</f>
        <v>0</v>
      </c>
      <c r="AA148" s="18">
        <f>IF(AD148=15,J148,0)</f>
        <v>0</v>
      </c>
      <c r="AB148" s="18">
        <f>IF(AD148=21,J148,0)</f>
        <v>31623</v>
      </c>
      <c r="AD148" s="43">
        <v>21</v>
      </c>
      <c r="AE148" s="43">
        <f>G148*0</f>
        <v>0</v>
      </c>
      <c r="AF148" s="43">
        <f>G148*(1-0)</f>
        <v>635</v>
      </c>
      <c r="AG148" s="38" t="s">
        <v>13</v>
      </c>
      <c r="AM148" s="43">
        <f>F148*AE148</f>
        <v>0</v>
      </c>
      <c r="AN148" s="43">
        <f>F148*AF148</f>
        <v>31623</v>
      </c>
      <c r="AO148" s="44" t="s">
        <v>670</v>
      </c>
      <c r="AP148" s="44" t="s">
        <v>692</v>
      </c>
      <c r="AQ148" s="34" t="s">
        <v>712</v>
      </c>
      <c r="AS148" s="43">
        <f>AM148+AN148</f>
        <v>31623</v>
      </c>
      <c r="AT148" s="43">
        <f>G148/(100-AU148)*100</f>
        <v>635</v>
      </c>
      <c r="AU148" s="43">
        <v>0</v>
      </c>
      <c r="AV148" s="43">
        <f>L148</f>
        <v>0</v>
      </c>
    </row>
    <row r="149" spans="1:48">
      <c r="D149" s="85" t="s">
        <v>465</v>
      </c>
      <c r="F149" s="77">
        <v>49.8</v>
      </c>
      <c r="G149" s="26"/>
    </row>
    <row r="150" spans="1:48">
      <c r="A150" s="6" t="s">
        <v>75</v>
      </c>
      <c r="B150" s="6" t="s">
        <v>196</v>
      </c>
      <c r="C150" s="6" t="s">
        <v>267</v>
      </c>
      <c r="D150" s="86" t="s">
        <v>467</v>
      </c>
      <c r="E150" s="6" t="s">
        <v>620</v>
      </c>
      <c r="F150" s="78">
        <v>54.78</v>
      </c>
      <c r="G150" s="27">
        <v>400</v>
      </c>
      <c r="H150" s="19">
        <f>F150*AE150</f>
        <v>21912</v>
      </c>
      <c r="I150" s="19">
        <f>J150-H150</f>
        <v>0</v>
      </c>
      <c r="J150" s="19">
        <f>F150*G150</f>
        <v>21912</v>
      </c>
      <c r="K150" s="19">
        <v>1.9429999999999999E-2</v>
      </c>
      <c r="L150" s="19">
        <f>F150*K150</f>
        <v>1.0643754000000001</v>
      </c>
      <c r="M150" s="39" t="s">
        <v>643</v>
      </c>
      <c r="P150" s="43">
        <f>IF(AG150="5",J150,0)</f>
        <v>0</v>
      </c>
      <c r="R150" s="43">
        <f>IF(AG150="1",H150,0)</f>
        <v>0</v>
      </c>
      <c r="S150" s="43">
        <f>IF(AG150="1",I150,0)</f>
        <v>0</v>
      </c>
      <c r="T150" s="43">
        <f>IF(AG150="7",H150,0)</f>
        <v>21912</v>
      </c>
      <c r="U150" s="43">
        <f>IF(AG150="7",I150,0)</f>
        <v>0</v>
      </c>
      <c r="V150" s="43">
        <f>IF(AG150="2",H150,0)</f>
        <v>0</v>
      </c>
      <c r="W150" s="43">
        <f>IF(AG150="2",I150,0)</f>
        <v>0</v>
      </c>
      <c r="X150" s="43">
        <f>IF(AG150="0",J150,0)</f>
        <v>0</v>
      </c>
      <c r="Y150" s="34" t="s">
        <v>196</v>
      </c>
      <c r="Z150" s="19">
        <f>IF(AD150=0,J150,0)</f>
        <v>0</v>
      </c>
      <c r="AA150" s="19">
        <f>IF(AD150=15,J150,0)</f>
        <v>0</v>
      </c>
      <c r="AB150" s="19">
        <f>IF(AD150=21,J150,0)</f>
        <v>21912</v>
      </c>
      <c r="AD150" s="43">
        <v>21</v>
      </c>
      <c r="AE150" s="43">
        <f>G150*1</f>
        <v>400</v>
      </c>
      <c r="AF150" s="43">
        <f>G150*(1-1)</f>
        <v>0</v>
      </c>
      <c r="AG150" s="39" t="s">
        <v>13</v>
      </c>
      <c r="AM150" s="43">
        <f>F150*AE150</f>
        <v>21912</v>
      </c>
      <c r="AN150" s="43">
        <f>F150*AF150</f>
        <v>0</v>
      </c>
      <c r="AO150" s="44" t="s">
        <v>670</v>
      </c>
      <c r="AP150" s="44" t="s">
        <v>692</v>
      </c>
      <c r="AQ150" s="34" t="s">
        <v>712</v>
      </c>
      <c r="AS150" s="43">
        <f>AM150+AN150</f>
        <v>21912</v>
      </c>
      <c r="AT150" s="43">
        <f>G150/(100-AU150)*100</f>
        <v>400</v>
      </c>
      <c r="AU150" s="43">
        <v>0</v>
      </c>
      <c r="AV150" s="43">
        <f>L150</f>
        <v>1.0643754000000001</v>
      </c>
    </row>
    <row r="151" spans="1:48">
      <c r="D151" s="85" t="s">
        <v>465</v>
      </c>
      <c r="F151" s="77">
        <v>49.8</v>
      </c>
      <c r="G151" s="26"/>
    </row>
    <row r="152" spans="1:48">
      <c r="D152" s="85" t="s">
        <v>468</v>
      </c>
      <c r="F152" s="77">
        <v>4.9800000000000004</v>
      </c>
      <c r="G152" s="26"/>
    </row>
    <row r="153" spans="1:48">
      <c r="A153" s="5" t="s">
        <v>76</v>
      </c>
      <c r="B153" s="5" t="s">
        <v>196</v>
      </c>
      <c r="C153" s="5" t="s">
        <v>268</v>
      </c>
      <c r="D153" s="84" t="s">
        <v>469</v>
      </c>
      <c r="E153" s="5" t="s">
        <v>621</v>
      </c>
      <c r="F153" s="76">
        <v>1.075</v>
      </c>
      <c r="G153" s="25">
        <v>548</v>
      </c>
      <c r="H153" s="18">
        <f>F153*AE153</f>
        <v>0</v>
      </c>
      <c r="I153" s="18">
        <f>J153-H153</f>
        <v>589.1</v>
      </c>
      <c r="J153" s="18">
        <f>F153*G153</f>
        <v>589.1</v>
      </c>
      <c r="K153" s="18">
        <v>0</v>
      </c>
      <c r="L153" s="18">
        <f>F153*K153</f>
        <v>0</v>
      </c>
      <c r="M153" s="38" t="s">
        <v>643</v>
      </c>
      <c r="P153" s="43">
        <f>IF(AG153="5",J153,0)</f>
        <v>589.1</v>
      </c>
      <c r="R153" s="43">
        <f>IF(AG153="1",H153,0)</f>
        <v>0</v>
      </c>
      <c r="S153" s="43">
        <f>IF(AG153="1",I153,0)</f>
        <v>0</v>
      </c>
      <c r="T153" s="43">
        <f>IF(AG153="7",H153,0)</f>
        <v>0</v>
      </c>
      <c r="U153" s="43">
        <f>IF(AG153="7",I153,0)</f>
        <v>0</v>
      </c>
      <c r="V153" s="43">
        <f>IF(AG153="2",H153,0)</f>
        <v>0</v>
      </c>
      <c r="W153" s="43">
        <f>IF(AG153="2",I153,0)</f>
        <v>0</v>
      </c>
      <c r="X153" s="43">
        <f>IF(AG153="0",J153,0)</f>
        <v>0</v>
      </c>
      <c r="Y153" s="34" t="s">
        <v>196</v>
      </c>
      <c r="Z153" s="18">
        <f>IF(AD153=0,J153,0)</f>
        <v>0</v>
      </c>
      <c r="AA153" s="18">
        <f>IF(AD153=15,J153,0)</f>
        <v>0</v>
      </c>
      <c r="AB153" s="18">
        <f>IF(AD153=21,J153,0)</f>
        <v>589.1</v>
      </c>
      <c r="AD153" s="43">
        <v>21</v>
      </c>
      <c r="AE153" s="43">
        <f>G153*0</f>
        <v>0</v>
      </c>
      <c r="AF153" s="43">
        <f>G153*(1-0)</f>
        <v>548</v>
      </c>
      <c r="AG153" s="38" t="s">
        <v>11</v>
      </c>
      <c r="AM153" s="43">
        <f>F153*AE153</f>
        <v>0</v>
      </c>
      <c r="AN153" s="43">
        <f>F153*AF153</f>
        <v>589.1</v>
      </c>
      <c r="AO153" s="44" t="s">
        <v>670</v>
      </c>
      <c r="AP153" s="44" t="s">
        <v>692</v>
      </c>
      <c r="AQ153" s="34" t="s">
        <v>712</v>
      </c>
      <c r="AS153" s="43">
        <f>AM153+AN153</f>
        <v>589.1</v>
      </c>
      <c r="AT153" s="43">
        <f>G153/(100-AU153)*100</f>
        <v>548</v>
      </c>
      <c r="AU153" s="43">
        <v>0</v>
      </c>
      <c r="AV153" s="43">
        <f>L153</f>
        <v>0</v>
      </c>
    </row>
    <row r="154" spans="1:48">
      <c r="A154" s="4"/>
      <c r="B154" s="14" t="s">
        <v>196</v>
      </c>
      <c r="C154" s="14" t="s">
        <v>215</v>
      </c>
      <c r="D154" s="83" t="s">
        <v>369</v>
      </c>
      <c r="E154" s="4" t="s">
        <v>6</v>
      </c>
      <c r="F154" s="4" t="s">
        <v>6</v>
      </c>
      <c r="G154" s="24" t="s">
        <v>6</v>
      </c>
      <c r="H154" s="46">
        <f>SUM(H155:H160)</f>
        <v>517.52621731224167</v>
      </c>
      <c r="I154" s="46">
        <f>SUM(I155:I160)</f>
        <v>3686.9457826877583</v>
      </c>
      <c r="J154" s="46">
        <f>H154+I154</f>
        <v>4204.4719999999998</v>
      </c>
      <c r="K154" s="34"/>
      <c r="L154" s="46">
        <f>SUM(L155:L160)</f>
        <v>1.3309120000000001E-2</v>
      </c>
      <c r="M154" s="34"/>
      <c r="Y154" s="34" t="s">
        <v>196</v>
      </c>
      <c r="AI154" s="46">
        <f>SUM(Z155:Z160)</f>
        <v>0</v>
      </c>
      <c r="AJ154" s="46">
        <f>SUM(AA155:AA160)</f>
        <v>0</v>
      </c>
      <c r="AK154" s="46">
        <f>SUM(AB155:AB160)</f>
        <v>4204.4719999999998</v>
      </c>
    </row>
    <row r="155" spans="1:48">
      <c r="A155" s="5" t="s">
        <v>77</v>
      </c>
      <c r="B155" s="5" t="s">
        <v>196</v>
      </c>
      <c r="C155" s="5" t="s">
        <v>236</v>
      </c>
      <c r="D155" s="84" t="s">
        <v>470</v>
      </c>
      <c r="E155" s="5" t="s">
        <v>620</v>
      </c>
      <c r="F155" s="76">
        <v>60.496000000000002</v>
      </c>
      <c r="G155" s="25">
        <v>18.600000000000001</v>
      </c>
      <c r="H155" s="18">
        <f>F155*AE155</f>
        <v>228.58270977892334</v>
      </c>
      <c r="I155" s="18">
        <f>J155-H155</f>
        <v>896.64289022107687</v>
      </c>
      <c r="J155" s="18">
        <f>F155*G155</f>
        <v>1125.2256000000002</v>
      </c>
      <c r="K155" s="18">
        <v>6.9999999999999994E-5</v>
      </c>
      <c r="L155" s="18">
        <f>F155*K155</f>
        <v>4.23472E-3</v>
      </c>
      <c r="M155" s="38" t="s">
        <v>644</v>
      </c>
      <c r="P155" s="43">
        <f>IF(AG155="5",J155,0)</f>
        <v>0</v>
      </c>
      <c r="R155" s="43">
        <f>IF(AG155="1",H155,0)</f>
        <v>0</v>
      </c>
      <c r="S155" s="43">
        <f>IF(AG155="1",I155,0)</f>
        <v>0</v>
      </c>
      <c r="T155" s="43">
        <f>IF(AG155="7",H155,0)</f>
        <v>228.58270977892334</v>
      </c>
      <c r="U155" s="43">
        <f>IF(AG155="7",I155,0)</f>
        <v>896.64289022107687</v>
      </c>
      <c r="V155" s="43">
        <f>IF(AG155="2",H155,0)</f>
        <v>0</v>
      </c>
      <c r="W155" s="43">
        <f>IF(AG155="2",I155,0)</f>
        <v>0</v>
      </c>
      <c r="X155" s="43">
        <f>IF(AG155="0",J155,0)</f>
        <v>0</v>
      </c>
      <c r="Y155" s="34" t="s">
        <v>196</v>
      </c>
      <c r="Z155" s="18">
        <f>IF(AD155=0,J155,0)</f>
        <v>0</v>
      </c>
      <c r="AA155" s="18">
        <f>IF(AD155=15,J155,0)</f>
        <v>0</v>
      </c>
      <c r="AB155" s="18">
        <f>IF(AD155=21,J155,0)</f>
        <v>1125.2256000000002</v>
      </c>
      <c r="AD155" s="43">
        <v>21</v>
      </c>
      <c r="AE155" s="43">
        <f>G155*0.20314389379243</f>
        <v>3.7784764245391984</v>
      </c>
      <c r="AF155" s="43">
        <f>G155*(1-0.20314389379243)</f>
        <v>14.821523575460802</v>
      </c>
      <c r="AG155" s="38" t="s">
        <v>13</v>
      </c>
      <c r="AM155" s="43">
        <f>F155*AE155</f>
        <v>228.58270977892334</v>
      </c>
      <c r="AN155" s="43">
        <f>F155*AF155</f>
        <v>896.64289022107664</v>
      </c>
      <c r="AO155" s="44" t="s">
        <v>660</v>
      </c>
      <c r="AP155" s="44" t="s">
        <v>692</v>
      </c>
      <c r="AQ155" s="34" t="s">
        <v>712</v>
      </c>
      <c r="AS155" s="43">
        <f>AM155+AN155</f>
        <v>1125.2256</v>
      </c>
      <c r="AT155" s="43">
        <f>G155/(100-AU155)*100</f>
        <v>18.600000000000001</v>
      </c>
      <c r="AU155" s="43">
        <v>0</v>
      </c>
      <c r="AV155" s="43">
        <f>L155</f>
        <v>4.23472E-3</v>
      </c>
    </row>
    <row r="156" spans="1:48">
      <c r="D156" s="85" t="s">
        <v>471</v>
      </c>
      <c r="F156" s="77">
        <v>21.295999999999999</v>
      </c>
      <c r="G156" s="26"/>
    </row>
    <row r="157" spans="1:48">
      <c r="D157" s="85" t="s">
        <v>472</v>
      </c>
      <c r="F157" s="77">
        <v>18.88</v>
      </c>
      <c r="G157" s="26"/>
    </row>
    <row r="158" spans="1:48">
      <c r="D158" s="85" t="s">
        <v>473</v>
      </c>
      <c r="F158" s="77">
        <v>12.78</v>
      </c>
      <c r="G158" s="26"/>
    </row>
    <row r="159" spans="1:48">
      <c r="D159" s="85" t="s">
        <v>474</v>
      </c>
      <c r="F159" s="77">
        <v>7.54</v>
      </c>
      <c r="G159" s="26"/>
    </row>
    <row r="160" spans="1:48">
      <c r="A160" s="5" t="s">
        <v>78</v>
      </c>
      <c r="B160" s="5" t="s">
        <v>196</v>
      </c>
      <c r="C160" s="5" t="s">
        <v>237</v>
      </c>
      <c r="D160" s="84" t="s">
        <v>414</v>
      </c>
      <c r="E160" s="5" t="s">
        <v>620</v>
      </c>
      <c r="F160" s="76">
        <v>60.496000000000002</v>
      </c>
      <c r="G160" s="25">
        <v>50.9</v>
      </c>
      <c r="H160" s="18">
        <f>F160*AE160</f>
        <v>288.94350753331832</v>
      </c>
      <c r="I160" s="18">
        <f>J160-H160</f>
        <v>2790.3028924666814</v>
      </c>
      <c r="J160" s="18">
        <f>F160*G160</f>
        <v>3079.2464</v>
      </c>
      <c r="K160" s="18">
        <v>1.4999999999999999E-4</v>
      </c>
      <c r="L160" s="18">
        <f>F160*K160</f>
        <v>9.0743999999999998E-3</v>
      </c>
      <c r="M160" s="38" t="s">
        <v>644</v>
      </c>
      <c r="P160" s="43">
        <f>IF(AG160="5",J160,0)</f>
        <v>0</v>
      </c>
      <c r="R160" s="43">
        <f>IF(AG160="1",H160,0)</f>
        <v>0</v>
      </c>
      <c r="S160" s="43">
        <f>IF(AG160="1",I160,0)</f>
        <v>0</v>
      </c>
      <c r="T160" s="43">
        <f>IF(AG160="7",H160,0)</f>
        <v>288.94350753331832</v>
      </c>
      <c r="U160" s="43">
        <f>IF(AG160="7",I160,0)</f>
        <v>2790.3028924666814</v>
      </c>
      <c r="V160" s="43">
        <f>IF(AG160="2",H160,0)</f>
        <v>0</v>
      </c>
      <c r="W160" s="43">
        <f>IF(AG160="2",I160,0)</f>
        <v>0</v>
      </c>
      <c r="X160" s="43">
        <f>IF(AG160="0",J160,0)</f>
        <v>0</v>
      </c>
      <c r="Y160" s="34" t="s">
        <v>196</v>
      </c>
      <c r="Z160" s="18">
        <f>IF(AD160=0,J160,0)</f>
        <v>0</v>
      </c>
      <c r="AA160" s="18">
        <f>IF(AD160=15,J160,0)</f>
        <v>0</v>
      </c>
      <c r="AB160" s="18">
        <f>IF(AD160=21,J160,0)</f>
        <v>3079.2464</v>
      </c>
      <c r="AD160" s="43">
        <v>21</v>
      </c>
      <c r="AE160" s="43">
        <f>G160*0.0938357864227164</f>
        <v>4.7762415289162643</v>
      </c>
      <c r="AF160" s="43">
        <f>G160*(1-0.0938357864227164)</f>
        <v>46.123758471083733</v>
      </c>
      <c r="AG160" s="38" t="s">
        <v>13</v>
      </c>
      <c r="AM160" s="43">
        <f>F160*AE160</f>
        <v>288.94350753331832</v>
      </c>
      <c r="AN160" s="43">
        <f>F160*AF160</f>
        <v>2790.3028924666814</v>
      </c>
      <c r="AO160" s="44" t="s">
        <v>660</v>
      </c>
      <c r="AP160" s="44" t="s">
        <v>692</v>
      </c>
      <c r="AQ160" s="34" t="s">
        <v>712</v>
      </c>
      <c r="AS160" s="43">
        <f>AM160+AN160</f>
        <v>3079.2464</v>
      </c>
      <c r="AT160" s="43">
        <f>G160/(100-AU160)*100</f>
        <v>50.9</v>
      </c>
      <c r="AU160" s="43">
        <v>0</v>
      </c>
      <c r="AV160" s="43">
        <f>L160</f>
        <v>9.0743999999999998E-3</v>
      </c>
    </row>
    <row r="161" spans="1:48">
      <c r="A161" s="4"/>
      <c r="B161" s="14" t="s">
        <v>196</v>
      </c>
      <c r="C161" s="14" t="s">
        <v>102</v>
      </c>
      <c r="D161" s="83" t="s">
        <v>416</v>
      </c>
      <c r="E161" s="4" t="s">
        <v>6</v>
      </c>
      <c r="F161" s="4" t="s">
        <v>6</v>
      </c>
      <c r="G161" s="24" t="s">
        <v>6</v>
      </c>
      <c r="H161" s="46">
        <f>SUM(H162:H164)</f>
        <v>6.3497787132379013</v>
      </c>
      <c r="I161" s="46">
        <f>SUM(I162:I164)</f>
        <v>1200.398591286762</v>
      </c>
      <c r="J161" s="46">
        <f>H161+I161</f>
        <v>1206.7483699999998</v>
      </c>
      <c r="K161" s="34"/>
      <c r="L161" s="46">
        <f>SUM(L162:L164)</f>
        <v>0.84837992000000007</v>
      </c>
      <c r="M161" s="34"/>
      <c r="Y161" s="34" t="s">
        <v>196</v>
      </c>
      <c r="AI161" s="46">
        <f>SUM(Z162:Z164)</f>
        <v>0</v>
      </c>
      <c r="AJ161" s="46">
        <f>SUM(AA162:AA164)</f>
        <v>0</v>
      </c>
      <c r="AK161" s="46">
        <f>SUM(AB162:AB164)</f>
        <v>1206.74837</v>
      </c>
    </row>
    <row r="162" spans="1:48">
      <c r="A162" s="5" t="s">
        <v>79</v>
      </c>
      <c r="B162" s="5" t="s">
        <v>196</v>
      </c>
      <c r="C162" s="5" t="s">
        <v>269</v>
      </c>
      <c r="D162" s="84" t="s">
        <v>475</v>
      </c>
      <c r="E162" s="5" t="s">
        <v>620</v>
      </c>
      <c r="F162" s="76">
        <v>18.8</v>
      </c>
      <c r="G162" s="25">
        <v>36.700000000000003</v>
      </c>
      <c r="H162" s="18">
        <f>F162*AE162</f>
        <v>0</v>
      </c>
      <c r="I162" s="18">
        <f>J162-H162</f>
        <v>689.96</v>
      </c>
      <c r="J162" s="18">
        <f>F162*G162</f>
        <v>689.96</v>
      </c>
      <c r="K162" s="18">
        <v>2.5510000000000001E-2</v>
      </c>
      <c r="L162" s="18">
        <f>F162*K162</f>
        <v>0.47958800000000007</v>
      </c>
      <c r="M162" s="38" t="s">
        <v>643</v>
      </c>
      <c r="P162" s="43">
        <f>IF(AG162="5",J162,0)</f>
        <v>0</v>
      </c>
      <c r="R162" s="43">
        <f>IF(AG162="1",H162,0)</f>
        <v>0</v>
      </c>
      <c r="S162" s="43">
        <f>IF(AG162="1",I162,0)</f>
        <v>689.96</v>
      </c>
      <c r="T162" s="43">
        <f>IF(AG162="7",H162,0)</f>
        <v>0</v>
      </c>
      <c r="U162" s="43">
        <f>IF(AG162="7",I162,0)</f>
        <v>0</v>
      </c>
      <c r="V162" s="43">
        <f>IF(AG162="2",H162,0)</f>
        <v>0</v>
      </c>
      <c r="W162" s="43">
        <f>IF(AG162="2",I162,0)</f>
        <v>0</v>
      </c>
      <c r="X162" s="43">
        <f>IF(AG162="0",J162,0)</f>
        <v>0</v>
      </c>
      <c r="Y162" s="34" t="s">
        <v>196</v>
      </c>
      <c r="Z162" s="18">
        <f>IF(AD162=0,J162,0)</f>
        <v>0</v>
      </c>
      <c r="AA162" s="18">
        <f>IF(AD162=15,J162,0)</f>
        <v>0</v>
      </c>
      <c r="AB162" s="18">
        <f>IF(AD162=21,J162,0)</f>
        <v>689.96</v>
      </c>
      <c r="AD162" s="43">
        <v>21</v>
      </c>
      <c r="AE162" s="43">
        <f>G162*0</f>
        <v>0</v>
      </c>
      <c r="AF162" s="43">
        <f>G162*(1-0)</f>
        <v>36.700000000000003</v>
      </c>
      <c r="AG162" s="38" t="s">
        <v>7</v>
      </c>
      <c r="AM162" s="43">
        <f>F162*AE162</f>
        <v>0</v>
      </c>
      <c r="AN162" s="43">
        <f>F162*AF162</f>
        <v>689.96</v>
      </c>
      <c r="AO162" s="44" t="s">
        <v>665</v>
      </c>
      <c r="AP162" s="44" t="s">
        <v>693</v>
      </c>
      <c r="AQ162" s="34" t="s">
        <v>712</v>
      </c>
      <c r="AS162" s="43">
        <f>AM162+AN162</f>
        <v>689.96</v>
      </c>
      <c r="AT162" s="43">
        <f>G162/(100-AU162)*100</f>
        <v>36.700000000000003</v>
      </c>
      <c r="AU162" s="43">
        <v>0</v>
      </c>
      <c r="AV162" s="43">
        <f>L162</f>
        <v>0.47958800000000007</v>
      </c>
    </row>
    <row r="163" spans="1:48">
      <c r="D163" s="85" t="s">
        <v>441</v>
      </c>
      <c r="F163" s="77">
        <v>18.8</v>
      </c>
      <c r="G163" s="26"/>
    </row>
    <row r="164" spans="1:48">
      <c r="A164" s="5" t="s">
        <v>80</v>
      </c>
      <c r="B164" s="5" t="s">
        <v>196</v>
      </c>
      <c r="C164" s="5" t="s">
        <v>270</v>
      </c>
      <c r="D164" s="84" t="s">
        <v>476</v>
      </c>
      <c r="E164" s="5" t="s">
        <v>624</v>
      </c>
      <c r="F164" s="76">
        <v>0.189</v>
      </c>
      <c r="G164" s="25">
        <v>2734.33</v>
      </c>
      <c r="H164" s="18">
        <f>F164*AE164</f>
        <v>6.3497787132379013</v>
      </c>
      <c r="I164" s="18">
        <f>J164-H164</f>
        <v>510.43859128676206</v>
      </c>
      <c r="J164" s="18">
        <f>F164*G164</f>
        <v>516.78836999999999</v>
      </c>
      <c r="K164" s="18">
        <v>1.9512799999999999</v>
      </c>
      <c r="L164" s="18">
        <f>F164*K164</f>
        <v>0.36879192</v>
      </c>
      <c r="M164" s="38" t="s">
        <v>643</v>
      </c>
      <c r="P164" s="43">
        <f>IF(AG164="5",J164,0)</f>
        <v>0</v>
      </c>
      <c r="R164" s="43">
        <f>IF(AG164="1",H164,0)</f>
        <v>6.3497787132379013</v>
      </c>
      <c r="S164" s="43">
        <f>IF(AG164="1",I164,0)</f>
        <v>510.43859128676206</v>
      </c>
      <c r="T164" s="43">
        <f>IF(AG164="7",H164,0)</f>
        <v>0</v>
      </c>
      <c r="U164" s="43">
        <f>IF(AG164="7",I164,0)</f>
        <v>0</v>
      </c>
      <c r="V164" s="43">
        <f>IF(AG164="2",H164,0)</f>
        <v>0</v>
      </c>
      <c r="W164" s="43">
        <f>IF(AG164="2",I164,0)</f>
        <v>0</v>
      </c>
      <c r="X164" s="43">
        <f>IF(AG164="0",J164,0)</f>
        <v>0</v>
      </c>
      <c r="Y164" s="34" t="s">
        <v>196</v>
      </c>
      <c r="Z164" s="18">
        <f>IF(AD164=0,J164,0)</f>
        <v>0</v>
      </c>
      <c r="AA164" s="18">
        <f>IF(AD164=15,J164,0)</f>
        <v>0</v>
      </c>
      <c r="AB164" s="18">
        <f>IF(AD164=21,J164,0)</f>
        <v>516.78836999999999</v>
      </c>
      <c r="AD164" s="43">
        <v>21</v>
      </c>
      <c r="AE164" s="43">
        <f>G164*0.012287000021378</f>
        <v>33.596712768454502</v>
      </c>
      <c r="AF164" s="43">
        <f>G164*(1-0.012287000021378)</f>
        <v>2700.7332872315455</v>
      </c>
      <c r="AG164" s="38" t="s">
        <v>7</v>
      </c>
      <c r="AM164" s="43">
        <f>F164*AE164</f>
        <v>6.3497787132379013</v>
      </c>
      <c r="AN164" s="43">
        <f>F164*AF164</f>
        <v>510.43859128676212</v>
      </c>
      <c r="AO164" s="44" t="s">
        <v>665</v>
      </c>
      <c r="AP164" s="44" t="s">
        <v>693</v>
      </c>
      <c r="AQ164" s="34" t="s">
        <v>712</v>
      </c>
      <c r="AS164" s="43">
        <f>AM164+AN164</f>
        <v>516.78836999999999</v>
      </c>
      <c r="AT164" s="43">
        <f>G164/(100-AU164)*100</f>
        <v>2734.33</v>
      </c>
      <c r="AU164" s="43">
        <v>0</v>
      </c>
      <c r="AV164" s="43">
        <f>L164</f>
        <v>0.36879192</v>
      </c>
    </row>
    <row r="165" spans="1:48">
      <c r="D165" s="85" t="s">
        <v>477</v>
      </c>
      <c r="F165" s="77">
        <v>0.189</v>
      </c>
      <c r="G165" s="26"/>
    </row>
    <row r="166" spans="1:48">
      <c r="A166" s="4"/>
      <c r="B166" s="14" t="s">
        <v>196</v>
      </c>
      <c r="C166" s="14" t="s">
        <v>103</v>
      </c>
      <c r="D166" s="83" t="s">
        <v>373</v>
      </c>
      <c r="E166" s="4" t="s">
        <v>6</v>
      </c>
      <c r="F166" s="4" t="s">
        <v>6</v>
      </c>
      <c r="G166" s="24" t="s">
        <v>6</v>
      </c>
      <c r="H166" s="46">
        <f>SUM(H167:H167)</f>
        <v>0</v>
      </c>
      <c r="I166" s="46">
        <f>SUM(I167:I167)</f>
        <v>8814.6</v>
      </c>
      <c r="J166" s="46">
        <f>H166+I166</f>
        <v>8814.6</v>
      </c>
      <c r="K166" s="34"/>
      <c r="L166" s="46">
        <f>SUM(L167:L167)</f>
        <v>3.3864000000000001</v>
      </c>
      <c r="M166" s="34"/>
      <c r="Y166" s="34" t="s">
        <v>196</v>
      </c>
      <c r="AI166" s="46">
        <f>SUM(Z167:Z167)</f>
        <v>0</v>
      </c>
      <c r="AJ166" s="46">
        <f>SUM(AA167:AA167)</f>
        <v>0</v>
      </c>
      <c r="AK166" s="46">
        <f>SUM(AB167:AB167)</f>
        <v>8814.6</v>
      </c>
    </row>
    <row r="167" spans="1:48">
      <c r="A167" s="5" t="s">
        <v>81</v>
      </c>
      <c r="B167" s="5" t="s">
        <v>196</v>
      </c>
      <c r="C167" s="5" t="s">
        <v>271</v>
      </c>
      <c r="D167" s="84" t="s">
        <v>478</v>
      </c>
      <c r="E167" s="5" t="s">
        <v>620</v>
      </c>
      <c r="F167" s="76">
        <v>49.8</v>
      </c>
      <c r="G167" s="25">
        <v>177</v>
      </c>
      <c r="H167" s="18">
        <f>F167*AE167</f>
        <v>0</v>
      </c>
      <c r="I167" s="18">
        <f>J167-H167</f>
        <v>8814.6</v>
      </c>
      <c r="J167" s="18">
        <f>F167*G167</f>
        <v>8814.6</v>
      </c>
      <c r="K167" s="18">
        <v>6.8000000000000005E-2</v>
      </c>
      <c r="L167" s="18">
        <f>F167*K167</f>
        <v>3.3864000000000001</v>
      </c>
      <c r="M167" s="38" t="s">
        <v>643</v>
      </c>
      <c r="P167" s="43">
        <f>IF(AG167="5",J167,0)</f>
        <v>0</v>
      </c>
      <c r="R167" s="43">
        <f>IF(AG167="1",H167,0)</f>
        <v>0</v>
      </c>
      <c r="S167" s="43">
        <f>IF(AG167="1",I167,0)</f>
        <v>8814.6</v>
      </c>
      <c r="T167" s="43">
        <f>IF(AG167="7",H167,0)</f>
        <v>0</v>
      </c>
      <c r="U167" s="43">
        <f>IF(AG167="7",I167,0)</f>
        <v>0</v>
      </c>
      <c r="V167" s="43">
        <f>IF(AG167="2",H167,0)</f>
        <v>0</v>
      </c>
      <c r="W167" s="43">
        <f>IF(AG167="2",I167,0)</f>
        <v>0</v>
      </c>
      <c r="X167" s="43">
        <f>IF(AG167="0",J167,0)</f>
        <v>0</v>
      </c>
      <c r="Y167" s="34" t="s">
        <v>196</v>
      </c>
      <c r="Z167" s="18">
        <f>IF(AD167=0,J167,0)</f>
        <v>0</v>
      </c>
      <c r="AA167" s="18">
        <f>IF(AD167=15,J167,0)</f>
        <v>0</v>
      </c>
      <c r="AB167" s="18">
        <f>IF(AD167=21,J167,0)</f>
        <v>8814.6</v>
      </c>
      <c r="AD167" s="43">
        <v>21</v>
      </c>
      <c r="AE167" s="43">
        <f>G167*0</f>
        <v>0</v>
      </c>
      <c r="AF167" s="43">
        <f>G167*(1-0)</f>
        <v>177</v>
      </c>
      <c r="AG167" s="38" t="s">
        <v>7</v>
      </c>
      <c r="AM167" s="43">
        <f>F167*AE167</f>
        <v>0</v>
      </c>
      <c r="AN167" s="43">
        <f>F167*AF167</f>
        <v>8814.6</v>
      </c>
      <c r="AO167" s="44" t="s">
        <v>661</v>
      </c>
      <c r="AP167" s="44" t="s">
        <v>693</v>
      </c>
      <c r="AQ167" s="34" t="s">
        <v>712</v>
      </c>
      <c r="AS167" s="43">
        <f>AM167+AN167</f>
        <v>8814.6</v>
      </c>
      <c r="AT167" s="43">
        <f>G167/(100-AU167)*100</f>
        <v>177</v>
      </c>
      <c r="AU167" s="43">
        <v>0</v>
      </c>
      <c r="AV167" s="43">
        <f>L167</f>
        <v>3.3864000000000001</v>
      </c>
    </row>
    <row r="168" spans="1:48">
      <c r="D168" s="85" t="s">
        <v>479</v>
      </c>
      <c r="F168" s="77">
        <v>53.24</v>
      </c>
      <c r="G168" s="26"/>
    </row>
    <row r="169" spans="1:48">
      <c r="D169" s="85" t="s">
        <v>480</v>
      </c>
      <c r="F169" s="77">
        <v>-9.68</v>
      </c>
      <c r="G169" s="26"/>
    </row>
    <row r="170" spans="1:48">
      <c r="D170" s="85" t="s">
        <v>481</v>
      </c>
      <c r="F170" s="77">
        <v>6.24</v>
      </c>
      <c r="G170" s="26"/>
    </row>
    <row r="171" spans="1:48">
      <c r="A171" s="4"/>
      <c r="B171" s="14" t="s">
        <v>196</v>
      </c>
      <c r="C171" s="14" t="s">
        <v>220</v>
      </c>
      <c r="D171" s="83" t="s">
        <v>378</v>
      </c>
      <c r="E171" s="4" t="s">
        <v>6</v>
      </c>
      <c r="F171" s="4" t="s">
        <v>6</v>
      </c>
      <c r="G171" s="24" t="s">
        <v>6</v>
      </c>
      <c r="H171" s="46">
        <f>SUM(H172:H187)</f>
        <v>23.939955309446251</v>
      </c>
      <c r="I171" s="46">
        <f>SUM(I172:I187)</f>
        <v>19113.954644690552</v>
      </c>
      <c r="J171" s="46">
        <f>H171+I171</f>
        <v>19137.894599999996</v>
      </c>
      <c r="K171" s="34"/>
      <c r="L171" s="46">
        <f>SUM(L172:L187)</f>
        <v>0</v>
      </c>
      <c r="M171" s="34"/>
      <c r="Y171" s="34" t="s">
        <v>196</v>
      </c>
      <c r="AI171" s="46">
        <f>SUM(Z172:Z187)</f>
        <v>0</v>
      </c>
      <c r="AJ171" s="46">
        <f>SUM(AA172:AA187)</f>
        <v>0</v>
      </c>
      <c r="AK171" s="46">
        <f>SUM(AB172:AB187)</f>
        <v>19137.8946</v>
      </c>
    </row>
    <row r="172" spans="1:48">
      <c r="A172" s="5" t="s">
        <v>82</v>
      </c>
      <c r="B172" s="5" t="s">
        <v>196</v>
      </c>
      <c r="C172" s="5" t="s">
        <v>243</v>
      </c>
      <c r="D172" s="84" t="s">
        <v>431</v>
      </c>
      <c r="E172" s="5" t="s">
        <v>621</v>
      </c>
      <c r="F172" s="76">
        <v>8.0399999999999991</v>
      </c>
      <c r="G172" s="25">
        <v>641</v>
      </c>
      <c r="H172" s="18">
        <f>F172*AE172</f>
        <v>0</v>
      </c>
      <c r="I172" s="18">
        <f>J172-H172</f>
        <v>5153.6399999999994</v>
      </c>
      <c r="J172" s="18">
        <f>F172*G172</f>
        <v>5153.6399999999994</v>
      </c>
      <c r="K172" s="18">
        <v>0</v>
      </c>
      <c r="L172" s="18">
        <f>F172*K172</f>
        <v>0</v>
      </c>
      <c r="M172" s="38" t="s">
        <v>643</v>
      </c>
      <c r="P172" s="43">
        <f>IF(AG172="5",J172,0)</f>
        <v>5153.6399999999994</v>
      </c>
      <c r="R172" s="43">
        <f>IF(AG172="1",H172,0)</f>
        <v>0</v>
      </c>
      <c r="S172" s="43">
        <f>IF(AG172="1",I172,0)</f>
        <v>0</v>
      </c>
      <c r="T172" s="43">
        <f>IF(AG172="7",H172,0)</f>
        <v>0</v>
      </c>
      <c r="U172" s="43">
        <f>IF(AG172="7",I172,0)</f>
        <v>0</v>
      </c>
      <c r="V172" s="43">
        <f>IF(AG172="2",H172,0)</f>
        <v>0</v>
      </c>
      <c r="W172" s="43">
        <f>IF(AG172="2",I172,0)</f>
        <v>0</v>
      </c>
      <c r="X172" s="43">
        <f>IF(AG172="0",J172,0)</f>
        <v>0</v>
      </c>
      <c r="Y172" s="34" t="s">
        <v>196</v>
      </c>
      <c r="Z172" s="18">
        <f>IF(AD172=0,J172,0)</f>
        <v>0</v>
      </c>
      <c r="AA172" s="18">
        <f>IF(AD172=15,J172,0)</f>
        <v>0</v>
      </c>
      <c r="AB172" s="18">
        <f>IF(AD172=21,J172,0)</f>
        <v>5153.6399999999994</v>
      </c>
      <c r="AD172" s="43">
        <v>21</v>
      </c>
      <c r="AE172" s="43">
        <f>G172*0</f>
        <v>0</v>
      </c>
      <c r="AF172" s="43">
        <f>G172*(1-0)</f>
        <v>641</v>
      </c>
      <c r="AG172" s="38" t="s">
        <v>11</v>
      </c>
      <c r="AM172" s="43">
        <f>F172*AE172</f>
        <v>0</v>
      </c>
      <c r="AN172" s="43">
        <f>F172*AF172</f>
        <v>5153.6399999999994</v>
      </c>
      <c r="AO172" s="44" t="s">
        <v>662</v>
      </c>
      <c r="AP172" s="44" t="s">
        <v>693</v>
      </c>
      <c r="AQ172" s="34" t="s">
        <v>712</v>
      </c>
      <c r="AS172" s="43">
        <f>AM172+AN172</f>
        <v>5153.6399999999994</v>
      </c>
      <c r="AT172" s="43">
        <f>G172/(100-AU172)*100</f>
        <v>641</v>
      </c>
      <c r="AU172" s="43">
        <v>0</v>
      </c>
      <c r="AV172" s="43">
        <f>L172</f>
        <v>0</v>
      </c>
    </row>
    <row r="173" spans="1:48">
      <c r="D173" s="85" t="s">
        <v>482</v>
      </c>
      <c r="F173" s="77">
        <v>7.1539999999999999</v>
      </c>
      <c r="G173" s="26"/>
    </row>
    <row r="174" spans="1:48">
      <c r="D174" s="85" t="s">
        <v>483</v>
      </c>
      <c r="F174" s="77">
        <v>0.88600000000000001</v>
      </c>
      <c r="G174" s="26"/>
    </row>
    <row r="175" spans="1:48">
      <c r="A175" s="5" t="s">
        <v>83</v>
      </c>
      <c r="B175" s="5" t="s">
        <v>196</v>
      </c>
      <c r="C175" s="5" t="s">
        <v>244</v>
      </c>
      <c r="D175" s="84" t="s">
        <v>433</v>
      </c>
      <c r="E175" s="5" t="s">
        <v>621</v>
      </c>
      <c r="F175" s="76">
        <v>4.0019999999999998</v>
      </c>
      <c r="G175" s="25">
        <v>295</v>
      </c>
      <c r="H175" s="18">
        <f>F175*AE175</f>
        <v>0</v>
      </c>
      <c r="I175" s="18">
        <f>J175-H175</f>
        <v>1180.5899999999999</v>
      </c>
      <c r="J175" s="18">
        <f>F175*G175</f>
        <v>1180.5899999999999</v>
      </c>
      <c r="K175" s="18">
        <v>0</v>
      </c>
      <c r="L175" s="18">
        <f>F175*K175</f>
        <v>0</v>
      </c>
      <c r="M175" s="38" t="s">
        <v>643</v>
      </c>
      <c r="P175" s="43">
        <f>IF(AG175="5",J175,0)</f>
        <v>1180.5899999999999</v>
      </c>
      <c r="R175" s="43">
        <f>IF(AG175="1",H175,0)</f>
        <v>0</v>
      </c>
      <c r="S175" s="43">
        <f>IF(AG175="1",I175,0)</f>
        <v>0</v>
      </c>
      <c r="T175" s="43">
        <f>IF(AG175="7",H175,0)</f>
        <v>0</v>
      </c>
      <c r="U175" s="43">
        <f>IF(AG175="7",I175,0)</f>
        <v>0</v>
      </c>
      <c r="V175" s="43">
        <f>IF(AG175="2",H175,0)</f>
        <v>0</v>
      </c>
      <c r="W175" s="43">
        <f>IF(AG175="2",I175,0)</f>
        <v>0</v>
      </c>
      <c r="X175" s="43">
        <f>IF(AG175="0",J175,0)</f>
        <v>0</v>
      </c>
      <c r="Y175" s="34" t="s">
        <v>196</v>
      </c>
      <c r="Z175" s="18">
        <f>IF(AD175=0,J175,0)</f>
        <v>0</v>
      </c>
      <c r="AA175" s="18">
        <f>IF(AD175=15,J175,0)</f>
        <v>0</v>
      </c>
      <c r="AB175" s="18">
        <f>IF(AD175=21,J175,0)</f>
        <v>1180.5899999999999</v>
      </c>
      <c r="AD175" s="43">
        <v>21</v>
      </c>
      <c r="AE175" s="43">
        <f>G175*0</f>
        <v>0</v>
      </c>
      <c r="AF175" s="43">
        <f>G175*(1-0)</f>
        <v>295</v>
      </c>
      <c r="AG175" s="38" t="s">
        <v>11</v>
      </c>
      <c r="AM175" s="43">
        <f>F175*AE175</f>
        <v>0</v>
      </c>
      <c r="AN175" s="43">
        <f>F175*AF175</f>
        <v>1180.5899999999999</v>
      </c>
      <c r="AO175" s="44" t="s">
        <v>662</v>
      </c>
      <c r="AP175" s="44" t="s">
        <v>693</v>
      </c>
      <c r="AQ175" s="34" t="s">
        <v>712</v>
      </c>
      <c r="AS175" s="43">
        <f>AM175+AN175</f>
        <v>1180.5899999999999</v>
      </c>
      <c r="AT175" s="43">
        <f>G175/(100-AU175)*100</f>
        <v>295</v>
      </c>
      <c r="AU175" s="43">
        <v>0</v>
      </c>
      <c r="AV175" s="43">
        <f>L175</f>
        <v>0</v>
      </c>
    </row>
    <row r="176" spans="1:48">
      <c r="D176" s="85" t="s">
        <v>484</v>
      </c>
      <c r="F176" s="77">
        <v>4.0019999999999998</v>
      </c>
      <c r="G176" s="26"/>
    </row>
    <row r="177" spans="1:48">
      <c r="A177" s="5" t="s">
        <v>84</v>
      </c>
      <c r="B177" s="5" t="s">
        <v>196</v>
      </c>
      <c r="C177" s="5" t="s">
        <v>221</v>
      </c>
      <c r="D177" s="84" t="s">
        <v>379</v>
      </c>
      <c r="E177" s="5" t="s">
        <v>621</v>
      </c>
      <c r="F177" s="76">
        <v>8.0020000000000007</v>
      </c>
      <c r="G177" s="25">
        <v>265.5</v>
      </c>
      <c r="H177" s="18">
        <f>F177*AE177</f>
        <v>0</v>
      </c>
      <c r="I177" s="18">
        <f>J177-H177</f>
        <v>2124.5310000000004</v>
      </c>
      <c r="J177" s="18">
        <f>F177*G177</f>
        <v>2124.5310000000004</v>
      </c>
      <c r="K177" s="18">
        <v>0</v>
      </c>
      <c r="L177" s="18">
        <f>F177*K177</f>
        <v>0</v>
      </c>
      <c r="M177" s="38" t="s">
        <v>643</v>
      </c>
      <c r="P177" s="43">
        <f>IF(AG177="5",J177,0)</f>
        <v>2124.5310000000004</v>
      </c>
      <c r="R177" s="43">
        <f>IF(AG177="1",H177,0)</f>
        <v>0</v>
      </c>
      <c r="S177" s="43">
        <f>IF(AG177="1",I177,0)</f>
        <v>0</v>
      </c>
      <c r="T177" s="43">
        <f>IF(AG177="7",H177,0)</f>
        <v>0</v>
      </c>
      <c r="U177" s="43">
        <f>IF(AG177="7",I177,0)</f>
        <v>0</v>
      </c>
      <c r="V177" s="43">
        <f>IF(AG177="2",H177,0)</f>
        <v>0</v>
      </c>
      <c r="W177" s="43">
        <f>IF(AG177="2",I177,0)</f>
        <v>0</v>
      </c>
      <c r="X177" s="43">
        <f>IF(AG177="0",J177,0)</f>
        <v>0</v>
      </c>
      <c r="Y177" s="34" t="s">
        <v>196</v>
      </c>
      <c r="Z177" s="18">
        <f>IF(AD177=0,J177,0)</f>
        <v>0</v>
      </c>
      <c r="AA177" s="18">
        <f>IF(AD177=15,J177,0)</f>
        <v>0</v>
      </c>
      <c r="AB177" s="18">
        <f>IF(AD177=21,J177,0)</f>
        <v>2124.5310000000004</v>
      </c>
      <c r="AD177" s="43">
        <v>21</v>
      </c>
      <c r="AE177" s="43">
        <f>G177*0</f>
        <v>0</v>
      </c>
      <c r="AF177" s="43">
        <f>G177*(1-0)</f>
        <v>265.5</v>
      </c>
      <c r="AG177" s="38" t="s">
        <v>11</v>
      </c>
      <c r="AM177" s="43">
        <f>F177*AE177</f>
        <v>0</v>
      </c>
      <c r="AN177" s="43">
        <f>F177*AF177</f>
        <v>2124.5310000000004</v>
      </c>
      <c r="AO177" s="44" t="s">
        <v>662</v>
      </c>
      <c r="AP177" s="44" t="s">
        <v>693</v>
      </c>
      <c r="AQ177" s="34" t="s">
        <v>712</v>
      </c>
      <c r="AS177" s="43">
        <f>AM177+AN177</f>
        <v>2124.5310000000004</v>
      </c>
      <c r="AT177" s="43">
        <f>G177/(100-AU177)*100</f>
        <v>265.5</v>
      </c>
      <c r="AU177" s="43">
        <v>0</v>
      </c>
      <c r="AV177" s="43">
        <f>L177</f>
        <v>0</v>
      </c>
    </row>
    <row r="178" spans="1:48">
      <c r="A178" s="5" t="s">
        <v>85</v>
      </c>
      <c r="B178" s="5" t="s">
        <v>196</v>
      </c>
      <c r="C178" s="5" t="s">
        <v>222</v>
      </c>
      <c r="D178" s="84" t="s">
        <v>381</v>
      </c>
      <c r="E178" s="5" t="s">
        <v>621</v>
      </c>
      <c r="F178" s="76">
        <v>24.006</v>
      </c>
      <c r="G178" s="25">
        <v>127</v>
      </c>
      <c r="H178" s="18">
        <f>F178*AE178</f>
        <v>0</v>
      </c>
      <c r="I178" s="18">
        <f>J178-H178</f>
        <v>3048.7620000000002</v>
      </c>
      <c r="J178" s="18">
        <f>F178*G178</f>
        <v>3048.7620000000002</v>
      </c>
      <c r="K178" s="18">
        <v>0</v>
      </c>
      <c r="L178" s="18">
        <f>F178*K178</f>
        <v>0</v>
      </c>
      <c r="M178" s="38" t="s">
        <v>643</v>
      </c>
      <c r="P178" s="43">
        <f>IF(AG178="5",J178,0)</f>
        <v>3048.7620000000002</v>
      </c>
      <c r="R178" s="43">
        <f>IF(AG178="1",H178,0)</f>
        <v>0</v>
      </c>
      <c r="S178" s="43">
        <f>IF(AG178="1",I178,0)</f>
        <v>0</v>
      </c>
      <c r="T178" s="43">
        <f>IF(AG178="7",H178,0)</f>
        <v>0</v>
      </c>
      <c r="U178" s="43">
        <f>IF(AG178="7",I178,0)</f>
        <v>0</v>
      </c>
      <c r="V178" s="43">
        <f>IF(AG178="2",H178,0)</f>
        <v>0</v>
      </c>
      <c r="W178" s="43">
        <f>IF(AG178="2",I178,0)</f>
        <v>0</v>
      </c>
      <c r="X178" s="43">
        <f>IF(AG178="0",J178,0)</f>
        <v>0</v>
      </c>
      <c r="Y178" s="34" t="s">
        <v>196</v>
      </c>
      <c r="Z178" s="18">
        <f>IF(AD178=0,J178,0)</f>
        <v>0</v>
      </c>
      <c r="AA178" s="18">
        <f>IF(AD178=15,J178,0)</f>
        <v>0</v>
      </c>
      <c r="AB178" s="18">
        <f>IF(AD178=21,J178,0)</f>
        <v>3048.7620000000002</v>
      </c>
      <c r="AD178" s="43">
        <v>21</v>
      </c>
      <c r="AE178" s="43">
        <f>G178*0</f>
        <v>0</v>
      </c>
      <c r="AF178" s="43">
        <f>G178*(1-0)</f>
        <v>127</v>
      </c>
      <c r="AG178" s="38" t="s">
        <v>11</v>
      </c>
      <c r="AM178" s="43">
        <f>F178*AE178</f>
        <v>0</v>
      </c>
      <c r="AN178" s="43">
        <f>F178*AF178</f>
        <v>3048.7620000000002</v>
      </c>
      <c r="AO178" s="44" t="s">
        <v>662</v>
      </c>
      <c r="AP178" s="44" t="s">
        <v>693</v>
      </c>
      <c r="AQ178" s="34" t="s">
        <v>712</v>
      </c>
      <c r="AS178" s="43">
        <f>AM178+AN178</f>
        <v>3048.7620000000002</v>
      </c>
      <c r="AT178" s="43">
        <f>G178/(100-AU178)*100</f>
        <v>127</v>
      </c>
      <c r="AU178" s="43">
        <v>0</v>
      </c>
      <c r="AV178" s="43">
        <f>L178</f>
        <v>0</v>
      </c>
    </row>
    <row r="179" spans="1:48">
      <c r="D179" s="85" t="s">
        <v>485</v>
      </c>
      <c r="F179" s="77">
        <v>24.006</v>
      </c>
      <c r="G179" s="26"/>
    </row>
    <row r="180" spans="1:48">
      <c r="A180" s="5" t="s">
        <v>86</v>
      </c>
      <c r="B180" s="5" t="s">
        <v>196</v>
      </c>
      <c r="C180" s="5" t="s">
        <v>272</v>
      </c>
      <c r="D180" s="84" t="s">
        <v>486</v>
      </c>
      <c r="E180" s="5" t="s">
        <v>621</v>
      </c>
      <c r="F180" s="76">
        <v>7.1539999999999999</v>
      </c>
      <c r="G180" s="25">
        <v>450</v>
      </c>
      <c r="H180" s="18">
        <f>F180*AE180</f>
        <v>0</v>
      </c>
      <c r="I180" s="18">
        <f>J180-H180</f>
        <v>3219.3</v>
      </c>
      <c r="J180" s="18">
        <f>F180*G180</f>
        <v>3219.3</v>
      </c>
      <c r="K180" s="18">
        <v>0</v>
      </c>
      <c r="L180" s="18">
        <f>F180*K180</f>
        <v>0</v>
      </c>
      <c r="M180" s="38" t="s">
        <v>643</v>
      </c>
      <c r="P180" s="43">
        <f>IF(AG180="5",J180,0)</f>
        <v>3219.3</v>
      </c>
      <c r="R180" s="43">
        <f>IF(AG180="1",H180,0)</f>
        <v>0</v>
      </c>
      <c r="S180" s="43">
        <f>IF(AG180="1",I180,0)</f>
        <v>0</v>
      </c>
      <c r="T180" s="43">
        <f>IF(AG180="7",H180,0)</f>
        <v>0</v>
      </c>
      <c r="U180" s="43">
        <f>IF(AG180="7",I180,0)</f>
        <v>0</v>
      </c>
      <c r="V180" s="43">
        <f>IF(AG180="2",H180,0)</f>
        <v>0</v>
      </c>
      <c r="W180" s="43">
        <f>IF(AG180="2",I180,0)</f>
        <v>0</v>
      </c>
      <c r="X180" s="43">
        <f>IF(AG180="0",J180,0)</f>
        <v>0</v>
      </c>
      <c r="Y180" s="34" t="s">
        <v>196</v>
      </c>
      <c r="Z180" s="18">
        <f>IF(AD180=0,J180,0)</f>
        <v>0</v>
      </c>
      <c r="AA180" s="18">
        <f>IF(AD180=15,J180,0)</f>
        <v>0</v>
      </c>
      <c r="AB180" s="18">
        <f>IF(AD180=21,J180,0)</f>
        <v>3219.3</v>
      </c>
      <c r="AD180" s="43">
        <v>21</v>
      </c>
      <c r="AE180" s="43">
        <f>G180*0</f>
        <v>0</v>
      </c>
      <c r="AF180" s="43">
        <f>G180*(1-0)</f>
        <v>450</v>
      </c>
      <c r="AG180" s="38" t="s">
        <v>11</v>
      </c>
      <c r="AM180" s="43">
        <f>F180*AE180</f>
        <v>0</v>
      </c>
      <c r="AN180" s="43">
        <f>F180*AF180</f>
        <v>3219.3</v>
      </c>
      <c r="AO180" s="44" t="s">
        <v>662</v>
      </c>
      <c r="AP180" s="44" t="s">
        <v>693</v>
      </c>
      <c r="AQ180" s="34" t="s">
        <v>712</v>
      </c>
      <c r="AS180" s="43">
        <f>AM180+AN180</f>
        <v>3219.3</v>
      </c>
      <c r="AT180" s="43">
        <f>G180/(100-AU180)*100</f>
        <v>450</v>
      </c>
      <c r="AU180" s="43">
        <v>0</v>
      </c>
      <c r="AV180" s="43">
        <f>L180</f>
        <v>0</v>
      </c>
    </row>
    <row r="181" spans="1:48">
      <c r="A181" s="5" t="s">
        <v>87</v>
      </c>
      <c r="B181" s="5" t="s">
        <v>196</v>
      </c>
      <c r="C181" s="5" t="s">
        <v>224</v>
      </c>
      <c r="D181" s="84" t="s">
        <v>384</v>
      </c>
      <c r="E181" s="5" t="s">
        <v>621</v>
      </c>
      <c r="F181" s="76">
        <v>8.0039999999999996</v>
      </c>
      <c r="G181" s="25">
        <v>9.9</v>
      </c>
      <c r="H181" s="18">
        <f>F181*AE181</f>
        <v>0</v>
      </c>
      <c r="I181" s="18">
        <f>J181-H181</f>
        <v>79.239599999999996</v>
      </c>
      <c r="J181" s="18">
        <f>F181*G181</f>
        <v>79.239599999999996</v>
      </c>
      <c r="K181" s="18">
        <v>0</v>
      </c>
      <c r="L181" s="18">
        <f>F181*K181</f>
        <v>0</v>
      </c>
      <c r="M181" s="38" t="s">
        <v>643</v>
      </c>
      <c r="P181" s="43">
        <f>IF(AG181="5",J181,0)</f>
        <v>79.239599999999996</v>
      </c>
      <c r="R181" s="43">
        <f>IF(AG181="1",H181,0)</f>
        <v>0</v>
      </c>
      <c r="S181" s="43">
        <f>IF(AG181="1",I181,0)</f>
        <v>0</v>
      </c>
      <c r="T181" s="43">
        <f>IF(AG181="7",H181,0)</f>
        <v>0</v>
      </c>
      <c r="U181" s="43">
        <f>IF(AG181="7",I181,0)</f>
        <v>0</v>
      </c>
      <c r="V181" s="43">
        <f>IF(AG181="2",H181,0)</f>
        <v>0</v>
      </c>
      <c r="W181" s="43">
        <f>IF(AG181="2",I181,0)</f>
        <v>0</v>
      </c>
      <c r="X181" s="43">
        <f>IF(AG181="0",J181,0)</f>
        <v>0</v>
      </c>
      <c r="Y181" s="34" t="s">
        <v>196</v>
      </c>
      <c r="Z181" s="18">
        <f>IF(AD181=0,J181,0)</f>
        <v>0</v>
      </c>
      <c r="AA181" s="18">
        <f>IF(AD181=15,J181,0)</f>
        <v>0</v>
      </c>
      <c r="AB181" s="18">
        <f>IF(AD181=21,J181,0)</f>
        <v>79.239599999999996</v>
      </c>
      <c r="AD181" s="43">
        <v>21</v>
      </c>
      <c r="AE181" s="43">
        <f>G181*0</f>
        <v>0</v>
      </c>
      <c r="AF181" s="43">
        <f>G181*(1-0)</f>
        <v>9.9</v>
      </c>
      <c r="AG181" s="38" t="s">
        <v>11</v>
      </c>
      <c r="AM181" s="43">
        <f>F181*AE181</f>
        <v>0</v>
      </c>
      <c r="AN181" s="43">
        <f>F181*AF181</f>
        <v>79.239599999999996</v>
      </c>
      <c r="AO181" s="44" t="s">
        <v>662</v>
      </c>
      <c r="AP181" s="44" t="s">
        <v>693</v>
      </c>
      <c r="AQ181" s="34" t="s">
        <v>712</v>
      </c>
      <c r="AS181" s="43">
        <f>AM181+AN181</f>
        <v>79.239599999999996</v>
      </c>
      <c r="AT181" s="43">
        <f>G181/(100-AU181)*100</f>
        <v>9.9</v>
      </c>
      <c r="AU181" s="43">
        <v>0</v>
      </c>
      <c r="AV181" s="43">
        <f>L181</f>
        <v>0</v>
      </c>
    </row>
    <row r="182" spans="1:48">
      <c r="A182" s="5" t="s">
        <v>88</v>
      </c>
      <c r="B182" s="5" t="s">
        <v>196</v>
      </c>
      <c r="C182" s="5" t="s">
        <v>245</v>
      </c>
      <c r="D182" s="84" t="s">
        <v>436</v>
      </c>
      <c r="E182" s="5" t="s">
        <v>621</v>
      </c>
      <c r="F182" s="76">
        <v>8.0039999999999996</v>
      </c>
      <c r="G182" s="25">
        <v>100</v>
      </c>
      <c r="H182" s="18">
        <f>F182*AE182</f>
        <v>0</v>
      </c>
      <c r="I182" s="18">
        <f>J182-H182</f>
        <v>800.4</v>
      </c>
      <c r="J182" s="18">
        <f>F182*G182</f>
        <v>800.4</v>
      </c>
      <c r="K182" s="18">
        <v>0</v>
      </c>
      <c r="L182" s="18">
        <f>F182*K182</f>
        <v>0</v>
      </c>
      <c r="M182" s="38" t="s">
        <v>643</v>
      </c>
      <c r="P182" s="43">
        <f>IF(AG182="5",J182,0)</f>
        <v>800.4</v>
      </c>
      <c r="R182" s="43">
        <f>IF(AG182="1",H182,0)</f>
        <v>0</v>
      </c>
      <c r="S182" s="43">
        <f>IF(AG182="1",I182,0)</f>
        <v>0</v>
      </c>
      <c r="T182" s="43">
        <f>IF(AG182="7",H182,0)</f>
        <v>0</v>
      </c>
      <c r="U182" s="43">
        <f>IF(AG182="7",I182,0)</f>
        <v>0</v>
      </c>
      <c r="V182" s="43">
        <f>IF(AG182="2",H182,0)</f>
        <v>0</v>
      </c>
      <c r="W182" s="43">
        <f>IF(AG182="2",I182,0)</f>
        <v>0</v>
      </c>
      <c r="X182" s="43">
        <f>IF(AG182="0",J182,0)</f>
        <v>0</v>
      </c>
      <c r="Y182" s="34" t="s">
        <v>196</v>
      </c>
      <c r="Z182" s="18">
        <f>IF(AD182=0,J182,0)</f>
        <v>0</v>
      </c>
      <c r="AA182" s="18">
        <f>IF(AD182=15,J182,0)</f>
        <v>0</v>
      </c>
      <c r="AB182" s="18">
        <f>IF(AD182=21,J182,0)</f>
        <v>800.4</v>
      </c>
      <c r="AD182" s="43">
        <v>21</v>
      </c>
      <c r="AE182" s="43">
        <f>G182*0</f>
        <v>0</v>
      </c>
      <c r="AF182" s="43">
        <f>G182*(1-0)</f>
        <v>100</v>
      </c>
      <c r="AG182" s="38" t="s">
        <v>11</v>
      </c>
      <c r="AM182" s="43">
        <f>F182*AE182</f>
        <v>0</v>
      </c>
      <c r="AN182" s="43">
        <f>F182*AF182</f>
        <v>800.4</v>
      </c>
      <c r="AO182" s="44" t="s">
        <v>662</v>
      </c>
      <c r="AP182" s="44" t="s">
        <v>693</v>
      </c>
      <c r="AQ182" s="34" t="s">
        <v>712</v>
      </c>
      <c r="AS182" s="43">
        <f>AM182+AN182</f>
        <v>800.4</v>
      </c>
      <c r="AT182" s="43">
        <f>G182/(100-AU182)*100</f>
        <v>100</v>
      </c>
      <c r="AU182" s="43">
        <v>0</v>
      </c>
      <c r="AV182" s="43">
        <f>L182</f>
        <v>0</v>
      </c>
    </row>
    <row r="183" spans="1:48">
      <c r="A183" s="5" t="s">
        <v>89</v>
      </c>
      <c r="B183" s="5" t="s">
        <v>196</v>
      </c>
      <c r="C183" s="5" t="s">
        <v>223</v>
      </c>
      <c r="D183" s="84" t="s">
        <v>383</v>
      </c>
      <c r="E183" s="5" t="s">
        <v>621</v>
      </c>
      <c r="F183" s="76">
        <v>8.0039999999999996</v>
      </c>
      <c r="G183" s="25">
        <v>329</v>
      </c>
      <c r="H183" s="18">
        <f>F183*AE183</f>
        <v>23.939955309446251</v>
      </c>
      <c r="I183" s="18">
        <f>J183-H183</f>
        <v>2609.3760446905535</v>
      </c>
      <c r="J183" s="18">
        <f>F183*G183</f>
        <v>2633.3159999999998</v>
      </c>
      <c r="K183" s="18">
        <v>0</v>
      </c>
      <c r="L183" s="18">
        <f>F183*K183</f>
        <v>0</v>
      </c>
      <c r="M183" s="38" t="s">
        <v>643</v>
      </c>
      <c r="P183" s="43">
        <f>IF(AG183="5",J183,0)</f>
        <v>2633.3159999999998</v>
      </c>
      <c r="R183" s="43">
        <f>IF(AG183="1",H183,0)</f>
        <v>0</v>
      </c>
      <c r="S183" s="43">
        <f>IF(AG183="1",I183,0)</f>
        <v>0</v>
      </c>
      <c r="T183" s="43">
        <f>IF(AG183="7",H183,0)</f>
        <v>0</v>
      </c>
      <c r="U183" s="43">
        <f>IF(AG183="7",I183,0)</f>
        <v>0</v>
      </c>
      <c r="V183" s="43">
        <f>IF(AG183="2",H183,0)</f>
        <v>0</v>
      </c>
      <c r="W183" s="43">
        <f>IF(AG183="2",I183,0)</f>
        <v>0</v>
      </c>
      <c r="X183" s="43">
        <f>IF(AG183="0",J183,0)</f>
        <v>0</v>
      </c>
      <c r="Y183" s="34" t="s">
        <v>196</v>
      </c>
      <c r="Z183" s="18">
        <f>IF(AD183=0,J183,0)</f>
        <v>0</v>
      </c>
      <c r="AA183" s="18">
        <f>IF(AD183=15,J183,0)</f>
        <v>0</v>
      </c>
      <c r="AB183" s="18">
        <f>IF(AD183=21,J183,0)</f>
        <v>2633.3159999999998</v>
      </c>
      <c r="AD183" s="43">
        <v>21</v>
      </c>
      <c r="AE183" s="43">
        <f>G183*0.00909118211010234</f>
        <v>2.9909989142236699</v>
      </c>
      <c r="AF183" s="43">
        <f>G183*(1-0.00909118211010234)</f>
        <v>326.00900108577633</v>
      </c>
      <c r="AG183" s="38" t="s">
        <v>11</v>
      </c>
      <c r="AM183" s="43">
        <f>F183*AE183</f>
        <v>23.939955309446251</v>
      </c>
      <c r="AN183" s="43">
        <f>F183*AF183</f>
        <v>2609.3760446905535</v>
      </c>
      <c r="AO183" s="44" t="s">
        <v>662</v>
      </c>
      <c r="AP183" s="44" t="s">
        <v>693</v>
      </c>
      <c r="AQ183" s="34" t="s">
        <v>712</v>
      </c>
      <c r="AS183" s="43">
        <f>AM183+AN183</f>
        <v>2633.3159999999998</v>
      </c>
      <c r="AT183" s="43">
        <f>G183/(100-AU183)*100</f>
        <v>329</v>
      </c>
      <c r="AU183" s="43">
        <v>0</v>
      </c>
      <c r="AV183" s="43">
        <f>L183</f>
        <v>0</v>
      </c>
    </row>
    <row r="184" spans="1:48">
      <c r="D184" s="85" t="s">
        <v>487</v>
      </c>
      <c r="F184" s="77">
        <v>8.0039999999999996</v>
      </c>
      <c r="G184" s="26"/>
    </row>
    <row r="185" spans="1:48">
      <c r="A185" s="5" t="s">
        <v>90</v>
      </c>
      <c r="B185" s="5" t="s">
        <v>196</v>
      </c>
      <c r="C185" s="5" t="s">
        <v>225</v>
      </c>
      <c r="D185" s="84" t="s">
        <v>385</v>
      </c>
      <c r="E185" s="5" t="s">
        <v>621</v>
      </c>
      <c r="F185" s="76">
        <v>80.040000000000006</v>
      </c>
      <c r="G185" s="25">
        <v>7.9</v>
      </c>
      <c r="H185" s="18">
        <f>F185*AE185</f>
        <v>0</v>
      </c>
      <c r="I185" s="18">
        <f>J185-H185</f>
        <v>632.31600000000003</v>
      </c>
      <c r="J185" s="18">
        <f>F185*G185</f>
        <v>632.31600000000003</v>
      </c>
      <c r="K185" s="18">
        <v>0</v>
      </c>
      <c r="L185" s="18">
        <f>F185*K185</f>
        <v>0</v>
      </c>
      <c r="M185" s="38" t="s">
        <v>643</v>
      </c>
      <c r="P185" s="43">
        <f>IF(AG185="5",J185,0)</f>
        <v>632.31600000000003</v>
      </c>
      <c r="R185" s="43">
        <f>IF(AG185="1",H185,0)</f>
        <v>0</v>
      </c>
      <c r="S185" s="43">
        <f>IF(AG185="1",I185,0)</f>
        <v>0</v>
      </c>
      <c r="T185" s="43">
        <f>IF(AG185="7",H185,0)</f>
        <v>0</v>
      </c>
      <c r="U185" s="43">
        <f>IF(AG185="7",I185,0)</f>
        <v>0</v>
      </c>
      <c r="V185" s="43">
        <f>IF(AG185="2",H185,0)</f>
        <v>0</v>
      </c>
      <c r="W185" s="43">
        <f>IF(AG185="2",I185,0)</f>
        <v>0</v>
      </c>
      <c r="X185" s="43">
        <f>IF(AG185="0",J185,0)</f>
        <v>0</v>
      </c>
      <c r="Y185" s="34" t="s">
        <v>196</v>
      </c>
      <c r="Z185" s="18">
        <f>IF(AD185=0,J185,0)</f>
        <v>0</v>
      </c>
      <c r="AA185" s="18">
        <f>IF(AD185=15,J185,0)</f>
        <v>0</v>
      </c>
      <c r="AB185" s="18">
        <f>IF(AD185=21,J185,0)</f>
        <v>632.31600000000003</v>
      </c>
      <c r="AD185" s="43">
        <v>21</v>
      </c>
      <c r="AE185" s="43">
        <f>G185*0</f>
        <v>0</v>
      </c>
      <c r="AF185" s="43">
        <f>G185*(1-0)</f>
        <v>7.9</v>
      </c>
      <c r="AG185" s="38" t="s">
        <v>11</v>
      </c>
      <c r="AM185" s="43">
        <f>F185*AE185</f>
        <v>0</v>
      </c>
      <c r="AN185" s="43">
        <f>F185*AF185</f>
        <v>632.31600000000003</v>
      </c>
      <c r="AO185" s="44" t="s">
        <v>662</v>
      </c>
      <c r="AP185" s="44" t="s">
        <v>693</v>
      </c>
      <c r="AQ185" s="34" t="s">
        <v>712</v>
      </c>
      <c r="AS185" s="43">
        <f>AM185+AN185</f>
        <v>632.31600000000003</v>
      </c>
      <c r="AT185" s="43">
        <f>G185/(100-AU185)*100</f>
        <v>7.9</v>
      </c>
      <c r="AU185" s="43">
        <v>0</v>
      </c>
      <c r="AV185" s="43">
        <f>L185</f>
        <v>0</v>
      </c>
    </row>
    <row r="186" spans="1:48">
      <c r="D186" s="85" t="s">
        <v>488</v>
      </c>
      <c r="F186" s="77">
        <v>80.040000000000006</v>
      </c>
      <c r="G186" s="26"/>
    </row>
    <row r="187" spans="1:48">
      <c r="A187" s="5" t="s">
        <v>91</v>
      </c>
      <c r="B187" s="5" t="s">
        <v>196</v>
      </c>
      <c r="C187" s="5" t="s">
        <v>226</v>
      </c>
      <c r="D187" s="84" t="s">
        <v>387</v>
      </c>
      <c r="E187" s="5" t="s">
        <v>621</v>
      </c>
      <c r="F187" s="76">
        <v>0.88600000000000001</v>
      </c>
      <c r="G187" s="25">
        <v>300</v>
      </c>
      <c r="H187" s="18">
        <f>F187*AE187</f>
        <v>0</v>
      </c>
      <c r="I187" s="18">
        <f>J187-H187</f>
        <v>265.8</v>
      </c>
      <c r="J187" s="18">
        <f>F187*G187</f>
        <v>265.8</v>
      </c>
      <c r="K187" s="18">
        <v>0</v>
      </c>
      <c r="L187" s="18">
        <f>F187*K187</f>
        <v>0</v>
      </c>
      <c r="M187" s="38" t="s">
        <v>643</v>
      </c>
      <c r="P187" s="43">
        <f>IF(AG187="5",J187,0)</f>
        <v>265.8</v>
      </c>
      <c r="R187" s="43">
        <f>IF(AG187="1",H187,0)</f>
        <v>0</v>
      </c>
      <c r="S187" s="43">
        <f>IF(AG187="1",I187,0)</f>
        <v>0</v>
      </c>
      <c r="T187" s="43">
        <f>IF(AG187="7",H187,0)</f>
        <v>0</v>
      </c>
      <c r="U187" s="43">
        <f>IF(AG187="7",I187,0)</f>
        <v>0</v>
      </c>
      <c r="V187" s="43">
        <f>IF(AG187="2",H187,0)</f>
        <v>0</v>
      </c>
      <c r="W187" s="43">
        <f>IF(AG187="2",I187,0)</f>
        <v>0</v>
      </c>
      <c r="X187" s="43">
        <f>IF(AG187="0",J187,0)</f>
        <v>0</v>
      </c>
      <c r="Y187" s="34" t="s">
        <v>196</v>
      </c>
      <c r="Z187" s="18">
        <f>IF(AD187=0,J187,0)</f>
        <v>0</v>
      </c>
      <c r="AA187" s="18">
        <f>IF(AD187=15,J187,0)</f>
        <v>0</v>
      </c>
      <c r="AB187" s="18">
        <f>IF(AD187=21,J187,0)</f>
        <v>265.8</v>
      </c>
      <c r="AD187" s="43">
        <v>21</v>
      </c>
      <c r="AE187" s="43">
        <f>G187*0</f>
        <v>0</v>
      </c>
      <c r="AF187" s="43">
        <f>G187*(1-0)</f>
        <v>300</v>
      </c>
      <c r="AG187" s="38" t="s">
        <v>11</v>
      </c>
      <c r="AM187" s="43">
        <f>F187*AE187</f>
        <v>0</v>
      </c>
      <c r="AN187" s="43">
        <f>F187*AF187</f>
        <v>265.8</v>
      </c>
      <c r="AO187" s="44" t="s">
        <v>662</v>
      </c>
      <c r="AP187" s="44" t="s">
        <v>693</v>
      </c>
      <c r="AQ187" s="34" t="s">
        <v>712</v>
      </c>
      <c r="AS187" s="43">
        <f>AM187+AN187</f>
        <v>265.8</v>
      </c>
      <c r="AT187" s="43">
        <f>G187/(100-AU187)*100</f>
        <v>300</v>
      </c>
      <c r="AU187" s="43">
        <v>0</v>
      </c>
      <c r="AV187" s="43">
        <f>L187</f>
        <v>0</v>
      </c>
    </row>
    <row r="188" spans="1:48">
      <c r="A188" s="7"/>
      <c r="B188" s="15" t="s">
        <v>197</v>
      </c>
      <c r="C188" s="15"/>
      <c r="D188" s="87" t="s">
        <v>489</v>
      </c>
      <c r="E188" s="7" t="s">
        <v>6</v>
      </c>
      <c r="F188" s="7" t="s">
        <v>6</v>
      </c>
      <c r="G188" s="28" t="s">
        <v>6</v>
      </c>
      <c r="H188" s="47">
        <f>H189+H192+H198+H207+H212</f>
        <v>45525.50218561678</v>
      </c>
      <c r="I188" s="47">
        <f>I189+I192+I198+I207+I212</f>
        <v>8557.1413143832215</v>
      </c>
      <c r="J188" s="47">
        <f>H188+I188</f>
        <v>54082.643500000006</v>
      </c>
      <c r="K188" s="35"/>
      <c r="L188" s="47">
        <f>L189+L192+L198+L207+L212</f>
        <v>7.4674759999999993E-2</v>
      </c>
      <c r="M188" s="35"/>
    </row>
    <row r="189" spans="1:48">
      <c r="A189" s="4"/>
      <c r="B189" s="14" t="s">
        <v>197</v>
      </c>
      <c r="C189" s="14" t="s">
        <v>273</v>
      </c>
      <c r="D189" s="83" t="s">
        <v>490</v>
      </c>
      <c r="E189" s="4" t="s">
        <v>6</v>
      </c>
      <c r="F189" s="4" t="s">
        <v>6</v>
      </c>
      <c r="G189" s="24" t="s">
        <v>6</v>
      </c>
      <c r="H189" s="46">
        <f>SUM(H190:H191)</f>
        <v>1410.6466683390229</v>
      </c>
      <c r="I189" s="46">
        <f>SUM(I190:I191)</f>
        <v>1707.3533316609771</v>
      </c>
      <c r="J189" s="46">
        <f>H189+I189</f>
        <v>3118</v>
      </c>
      <c r="K189" s="34"/>
      <c r="L189" s="46">
        <f>SUM(L190:L191)</f>
        <v>6.6649999999999999E-3</v>
      </c>
      <c r="M189" s="34"/>
      <c r="Y189" s="34" t="s">
        <v>197</v>
      </c>
      <c r="AI189" s="46">
        <f>SUM(Z190:Z191)</f>
        <v>0</v>
      </c>
      <c r="AJ189" s="46">
        <f>SUM(AA190:AA191)</f>
        <v>0</v>
      </c>
      <c r="AK189" s="46">
        <f>SUM(AB190:AB191)</f>
        <v>3118</v>
      </c>
    </row>
    <row r="190" spans="1:48">
      <c r="A190" s="5" t="s">
        <v>92</v>
      </c>
      <c r="B190" s="5" t="s">
        <v>197</v>
      </c>
      <c r="C190" s="5" t="s">
        <v>274</v>
      </c>
      <c r="D190" s="84" t="s">
        <v>491</v>
      </c>
      <c r="E190" s="5" t="s">
        <v>625</v>
      </c>
      <c r="F190" s="76">
        <v>2</v>
      </c>
      <c r="G190" s="25">
        <v>376</v>
      </c>
      <c r="H190" s="18">
        <f>F190*AE190</f>
        <v>351.29811241168386</v>
      </c>
      <c r="I190" s="18">
        <f>J190-H190</f>
        <v>400.70188758831614</v>
      </c>
      <c r="J190" s="18">
        <f>F190*G190</f>
        <v>752</v>
      </c>
      <c r="K190" s="18">
        <v>8.3000000000000001E-4</v>
      </c>
      <c r="L190" s="18">
        <f>F190*K190</f>
        <v>1.66E-3</v>
      </c>
      <c r="M190" s="38" t="s">
        <v>643</v>
      </c>
      <c r="P190" s="43">
        <f>IF(AG190="5",J190,0)</f>
        <v>0</v>
      </c>
      <c r="R190" s="43">
        <f>IF(AG190="1",H190,0)</f>
        <v>0</v>
      </c>
      <c r="S190" s="43">
        <f>IF(AG190="1",I190,0)</f>
        <v>0</v>
      </c>
      <c r="T190" s="43">
        <f>IF(AG190="7",H190,0)</f>
        <v>351.29811241168386</v>
      </c>
      <c r="U190" s="43">
        <f>IF(AG190="7",I190,0)</f>
        <v>400.70188758831614</v>
      </c>
      <c r="V190" s="43">
        <f>IF(AG190="2",H190,0)</f>
        <v>0</v>
      </c>
      <c r="W190" s="43">
        <f>IF(AG190="2",I190,0)</f>
        <v>0</v>
      </c>
      <c r="X190" s="43">
        <f>IF(AG190="0",J190,0)</f>
        <v>0</v>
      </c>
      <c r="Y190" s="34" t="s">
        <v>197</v>
      </c>
      <c r="Z190" s="18">
        <f>IF(AD190=0,J190,0)</f>
        <v>0</v>
      </c>
      <c r="AA190" s="18">
        <f>IF(AD190=15,J190,0)</f>
        <v>0</v>
      </c>
      <c r="AB190" s="18">
        <f>IF(AD190=21,J190,0)</f>
        <v>752</v>
      </c>
      <c r="AD190" s="43">
        <v>21</v>
      </c>
      <c r="AE190" s="43">
        <f>G190*0.467151745228303</f>
        <v>175.64905620584193</v>
      </c>
      <c r="AF190" s="43">
        <f>G190*(1-0.467151745228303)</f>
        <v>200.3509437941581</v>
      </c>
      <c r="AG190" s="38" t="s">
        <v>13</v>
      </c>
      <c r="AM190" s="43">
        <f>F190*AE190</f>
        <v>351.29811241168386</v>
      </c>
      <c r="AN190" s="43">
        <f>F190*AF190</f>
        <v>400.7018875883162</v>
      </c>
      <c r="AO190" s="44" t="s">
        <v>671</v>
      </c>
      <c r="AP190" s="44" t="s">
        <v>694</v>
      </c>
      <c r="AQ190" s="34" t="s">
        <v>713</v>
      </c>
      <c r="AS190" s="43">
        <f>AM190+AN190</f>
        <v>752</v>
      </c>
      <c r="AT190" s="43">
        <f>G190/(100-AU190)*100</f>
        <v>376</v>
      </c>
      <c r="AU190" s="43">
        <v>0</v>
      </c>
      <c r="AV190" s="43">
        <f>L190</f>
        <v>1.66E-3</v>
      </c>
    </row>
    <row r="191" spans="1:48">
      <c r="A191" s="5" t="s">
        <v>93</v>
      </c>
      <c r="B191" s="5" t="s">
        <v>197</v>
      </c>
      <c r="C191" s="5" t="s">
        <v>275</v>
      </c>
      <c r="D191" s="84" t="s">
        <v>492</v>
      </c>
      <c r="E191" s="5" t="s">
        <v>625</v>
      </c>
      <c r="F191" s="76">
        <v>6.5</v>
      </c>
      <c r="G191" s="25">
        <v>364</v>
      </c>
      <c r="H191" s="18">
        <f>F191*AE191</f>
        <v>1059.348555927339</v>
      </c>
      <c r="I191" s="18">
        <f>J191-H191</f>
        <v>1306.651444072661</v>
      </c>
      <c r="J191" s="18">
        <f>F191*G191</f>
        <v>2366</v>
      </c>
      <c r="K191" s="18">
        <v>7.6999999999999996E-4</v>
      </c>
      <c r="L191" s="18">
        <f>F191*K191</f>
        <v>5.0049999999999999E-3</v>
      </c>
      <c r="M191" s="38" t="s">
        <v>643</v>
      </c>
      <c r="P191" s="43">
        <f>IF(AG191="5",J191,0)</f>
        <v>0</v>
      </c>
      <c r="R191" s="43">
        <f>IF(AG191="1",H191,0)</f>
        <v>0</v>
      </c>
      <c r="S191" s="43">
        <f>IF(AG191="1",I191,0)</f>
        <v>0</v>
      </c>
      <c r="T191" s="43">
        <f>IF(AG191="7",H191,0)</f>
        <v>1059.348555927339</v>
      </c>
      <c r="U191" s="43">
        <f>IF(AG191="7",I191,0)</f>
        <v>1306.651444072661</v>
      </c>
      <c r="V191" s="43">
        <f>IF(AG191="2",H191,0)</f>
        <v>0</v>
      </c>
      <c r="W191" s="43">
        <f>IF(AG191="2",I191,0)</f>
        <v>0</v>
      </c>
      <c r="X191" s="43">
        <f>IF(AG191="0",J191,0)</f>
        <v>0</v>
      </c>
      <c r="Y191" s="34" t="s">
        <v>197</v>
      </c>
      <c r="Z191" s="18">
        <f>IF(AD191=0,J191,0)</f>
        <v>0</v>
      </c>
      <c r="AA191" s="18">
        <f>IF(AD191=15,J191,0)</f>
        <v>0</v>
      </c>
      <c r="AB191" s="18">
        <f>IF(AD191=21,J191,0)</f>
        <v>2366</v>
      </c>
      <c r="AD191" s="43">
        <v>21</v>
      </c>
      <c r="AE191" s="43">
        <f>G191*0.447738189318402</f>
        <v>162.97670091189832</v>
      </c>
      <c r="AF191" s="43">
        <f>G191*(1-0.447738189318402)</f>
        <v>201.02329908810165</v>
      </c>
      <c r="AG191" s="38" t="s">
        <v>13</v>
      </c>
      <c r="AM191" s="43">
        <f>F191*AE191</f>
        <v>1059.348555927339</v>
      </c>
      <c r="AN191" s="43">
        <f>F191*AF191</f>
        <v>1306.6514440726608</v>
      </c>
      <c r="AO191" s="44" t="s">
        <v>671</v>
      </c>
      <c r="AP191" s="44" t="s">
        <v>694</v>
      </c>
      <c r="AQ191" s="34" t="s">
        <v>713</v>
      </c>
      <c r="AS191" s="43">
        <f>AM191+AN191</f>
        <v>2366</v>
      </c>
      <c r="AT191" s="43">
        <f>G191/(100-AU191)*100</f>
        <v>364</v>
      </c>
      <c r="AU191" s="43">
        <v>0</v>
      </c>
      <c r="AV191" s="43">
        <f>L191</f>
        <v>5.0049999999999999E-3</v>
      </c>
    </row>
    <row r="192" spans="1:48">
      <c r="A192" s="4"/>
      <c r="B192" s="14" t="s">
        <v>197</v>
      </c>
      <c r="C192" s="14" t="s">
        <v>250</v>
      </c>
      <c r="D192" s="83" t="s">
        <v>448</v>
      </c>
      <c r="E192" s="4" t="s">
        <v>6</v>
      </c>
      <c r="F192" s="4" t="s">
        <v>6</v>
      </c>
      <c r="G192" s="24" t="s">
        <v>6</v>
      </c>
      <c r="H192" s="46">
        <f>SUM(H193:H197)</f>
        <v>39038.342885179052</v>
      </c>
      <c r="I192" s="46">
        <f>SUM(I193:I197)</f>
        <v>1769.6571148209487</v>
      </c>
      <c r="J192" s="46">
        <f>H192+I192</f>
        <v>40808</v>
      </c>
      <c r="K192" s="34"/>
      <c r="L192" s="46">
        <f>SUM(L193:L197)</f>
        <v>2.5759999999999998E-2</v>
      </c>
      <c r="M192" s="34"/>
      <c r="Y192" s="34" t="s">
        <v>197</v>
      </c>
      <c r="AI192" s="46">
        <f>SUM(Z193:Z197)</f>
        <v>0</v>
      </c>
      <c r="AJ192" s="46">
        <f>SUM(AA193:AA197)</f>
        <v>0</v>
      </c>
      <c r="AK192" s="46">
        <f>SUM(AB193:AB197)</f>
        <v>40808</v>
      </c>
    </row>
    <row r="193" spans="1:48">
      <c r="A193" s="6" t="s">
        <v>94</v>
      </c>
      <c r="B193" s="6" t="s">
        <v>197</v>
      </c>
      <c r="C193" s="6" t="s">
        <v>276</v>
      </c>
      <c r="D193" s="86" t="s">
        <v>493</v>
      </c>
      <c r="E193" s="6" t="s">
        <v>622</v>
      </c>
      <c r="F193" s="78">
        <v>2</v>
      </c>
      <c r="G193" s="27">
        <v>8000</v>
      </c>
      <c r="H193" s="19">
        <f>F193*AE193</f>
        <v>16000</v>
      </c>
      <c r="I193" s="19">
        <f>J193-H193</f>
        <v>0</v>
      </c>
      <c r="J193" s="19">
        <f>F193*G193</f>
        <v>16000</v>
      </c>
      <c r="K193" s="19">
        <v>1.5E-3</v>
      </c>
      <c r="L193" s="19">
        <f>F193*K193</f>
        <v>3.0000000000000001E-3</v>
      </c>
      <c r="M193" s="39" t="s">
        <v>643</v>
      </c>
      <c r="P193" s="43">
        <f>IF(AG193="5",J193,0)</f>
        <v>0</v>
      </c>
      <c r="R193" s="43">
        <f>IF(AG193="1",H193,0)</f>
        <v>0</v>
      </c>
      <c r="S193" s="43">
        <f>IF(AG193="1",I193,0)</f>
        <v>0</v>
      </c>
      <c r="T193" s="43">
        <f>IF(AG193="7",H193,0)</f>
        <v>16000</v>
      </c>
      <c r="U193" s="43">
        <f>IF(AG193="7",I193,0)</f>
        <v>0</v>
      </c>
      <c r="V193" s="43">
        <f>IF(AG193="2",H193,0)</f>
        <v>0</v>
      </c>
      <c r="W193" s="43">
        <f>IF(AG193="2",I193,0)</f>
        <v>0</v>
      </c>
      <c r="X193" s="43">
        <f>IF(AG193="0",J193,0)</f>
        <v>0</v>
      </c>
      <c r="Y193" s="34" t="s">
        <v>197</v>
      </c>
      <c r="Z193" s="19">
        <f>IF(AD193=0,J193,0)</f>
        <v>0</v>
      </c>
      <c r="AA193" s="19">
        <f>IF(AD193=15,J193,0)</f>
        <v>0</v>
      </c>
      <c r="AB193" s="19">
        <f>IF(AD193=21,J193,0)</f>
        <v>16000</v>
      </c>
      <c r="AD193" s="43">
        <v>21</v>
      </c>
      <c r="AE193" s="43">
        <f>G193*1</f>
        <v>8000</v>
      </c>
      <c r="AF193" s="43">
        <f>G193*(1-1)</f>
        <v>0</v>
      </c>
      <c r="AG193" s="39" t="s">
        <v>13</v>
      </c>
      <c r="AM193" s="43">
        <f>F193*AE193</f>
        <v>16000</v>
      </c>
      <c r="AN193" s="43">
        <f>F193*AF193</f>
        <v>0</v>
      </c>
      <c r="AO193" s="44" t="s">
        <v>668</v>
      </c>
      <c r="AP193" s="44" t="s">
        <v>694</v>
      </c>
      <c r="AQ193" s="34" t="s">
        <v>713</v>
      </c>
      <c r="AS193" s="43">
        <f>AM193+AN193</f>
        <v>16000</v>
      </c>
      <c r="AT193" s="43">
        <f>G193/(100-AU193)*100</f>
        <v>8000</v>
      </c>
      <c r="AU193" s="43">
        <v>0</v>
      </c>
      <c r="AV193" s="43">
        <f>L193</f>
        <v>3.0000000000000001E-3</v>
      </c>
    </row>
    <row r="194" spans="1:48">
      <c r="A194" s="6" t="s">
        <v>95</v>
      </c>
      <c r="B194" s="6" t="s">
        <v>197</v>
      </c>
      <c r="C194" s="6" t="s">
        <v>277</v>
      </c>
      <c r="D194" s="86" t="s">
        <v>494</v>
      </c>
      <c r="E194" s="6" t="s">
        <v>622</v>
      </c>
      <c r="F194" s="78">
        <v>2</v>
      </c>
      <c r="G194" s="27">
        <v>8000</v>
      </c>
      <c r="H194" s="19">
        <f>F194*AE194</f>
        <v>16000</v>
      </c>
      <c r="I194" s="19">
        <f>J194-H194</f>
        <v>0</v>
      </c>
      <c r="J194" s="19">
        <f>F194*G194</f>
        <v>16000</v>
      </c>
      <c r="K194" s="19">
        <v>1.5E-3</v>
      </c>
      <c r="L194" s="19">
        <f>F194*K194</f>
        <v>3.0000000000000001E-3</v>
      </c>
      <c r="M194" s="39" t="s">
        <v>643</v>
      </c>
      <c r="P194" s="43">
        <f>IF(AG194="5",J194,0)</f>
        <v>0</v>
      </c>
      <c r="R194" s="43">
        <f>IF(AG194="1",H194,0)</f>
        <v>0</v>
      </c>
      <c r="S194" s="43">
        <f>IF(AG194="1",I194,0)</f>
        <v>0</v>
      </c>
      <c r="T194" s="43">
        <f>IF(AG194="7",H194,0)</f>
        <v>16000</v>
      </c>
      <c r="U194" s="43">
        <f>IF(AG194="7",I194,0)</f>
        <v>0</v>
      </c>
      <c r="V194" s="43">
        <f>IF(AG194="2",H194,0)</f>
        <v>0</v>
      </c>
      <c r="W194" s="43">
        <f>IF(AG194="2",I194,0)</f>
        <v>0</v>
      </c>
      <c r="X194" s="43">
        <f>IF(AG194="0",J194,0)</f>
        <v>0</v>
      </c>
      <c r="Y194" s="34" t="s">
        <v>197</v>
      </c>
      <c r="Z194" s="19">
        <f>IF(AD194=0,J194,0)</f>
        <v>0</v>
      </c>
      <c r="AA194" s="19">
        <f>IF(AD194=15,J194,0)</f>
        <v>0</v>
      </c>
      <c r="AB194" s="19">
        <f>IF(AD194=21,J194,0)</f>
        <v>16000</v>
      </c>
      <c r="AD194" s="43">
        <v>21</v>
      </c>
      <c r="AE194" s="43">
        <f>G194*1</f>
        <v>8000</v>
      </c>
      <c r="AF194" s="43">
        <f>G194*(1-1)</f>
        <v>0</v>
      </c>
      <c r="AG194" s="39" t="s">
        <v>13</v>
      </c>
      <c r="AM194" s="43">
        <f>F194*AE194</f>
        <v>16000</v>
      </c>
      <c r="AN194" s="43">
        <f>F194*AF194</f>
        <v>0</v>
      </c>
      <c r="AO194" s="44" t="s">
        <v>668</v>
      </c>
      <c r="AP194" s="44" t="s">
        <v>694</v>
      </c>
      <c r="AQ194" s="34" t="s">
        <v>713</v>
      </c>
      <c r="AS194" s="43">
        <f>AM194+AN194</f>
        <v>16000</v>
      </c>
      <c r="AT194" s="43">
        <f>G194/(100-AU194)*100</f>
        <v>8000</v>
      </c>
      <c r="AU194" s="43">
        <v>0</v>
      </c>
      <c r="AV194" s="43">
        <f>L194</f>
        <v>3.0000000000000001E-3</v>
      </c>
    </row>
    <row r="195" spans="1:48">
      <c r="A195" s="5" t="s">
        <v>96</v>
      </c>
      <c r="B195" s="5" t="s">
        <v>197</v>
      </c>
      <c r="C195" s="5" t="s">
        <v>253</v>
      </c>
      <c r="D195" s="84" t="s">
        <v>451</v>
      </c>
      <c r="E195" s="5" t="s">
        <v>623</v>
      </c>
      <c r="F195" s="76">
        <v>2</v>
      </c>
      <c r="G195" s="25">
        <v>1135</v>
      </c>
      <c r="H195" s="18">
        <f>F195*AE195</f>
        <v>938.3949152542383</v>
      </c>
      <c r="I195" s="18">
        <f>J195-H195</f>
        <v>1331.6050847457618</v>
      </c>
      <c r="J195" s="18">
        <f>F195*G195</f>
        <v>2270</v>
      </c>
      <c r="K195" s="18">
        <v>8.4000000000000003E-4</v>
      </c>
      <c r="L195" s="18">
        <f>F195*K195</f>
        <v>1.6800000000000001E-3</v>
      </c>
      <c r="M195" s="38" t="s">
        <v>643</v>
      </c>
      <c r="P195" s="43">
        <f>IF(AG195="5",J195,0)</f>
        <v>0</v>
      </c>
      <c r="R195" s="43">
        <f>IF(AG195="1",H195,0)</f>
        <v>0</v>
      </c>
      <c r="S195" s="43">
        <f>IF(AG195="1",I195,0)</f>
        <v>0</v>
      </c>
      <c r="T195" s="43">
        <f>IF(AG195="7",H195,0)</f>
        <v>938.3949152542383</v>
      </c>
      <c r="U195" s="43">
        <f>IF(AG195="7",I195,0)</f>
        <v>1331.6050847457618</v>
      </c>
      <c r="V195" s="43">
        <f>IF(AG195="2",H195,0)</f>
        <v>0</v>
      </c>
      <c r="W195" s="43">
        <f>IF(AG195="2",I195,0)</f>
        <v>0</v>
      </c>
      <c r="X195" s="43">
        <f>IF(AG195="0",J195,0)</f>
        <v>0</v>
      </c>
      <c r="Y195" s="34" t="s">
        <v>197</v>
      </c>
      <c r="Z195" s="18">
        <f>IF(AD195=0,J195,0)</f>
        <v>0</v>
      </c>
      <c r="AA195" s="18">
        <f>IF(AD195=15,J195,0)</f>
        <v>0</v>
      </c>
      <c r="AB195" s="18">
        <f>IF(AD195=21,J195,0)</f>
        <v>2270</v>
      </c>
      <c r="AD195" s="43">
        <v>21</v>
      </c>
      <c r="AE195" s="43">
        <f>G195*0.413389830508475</f>
        <v>469.19745762711915</v>
      </c>
      <c r="AF195" s="43">
        <f>G195*(1-0.413389830508475)</f>
        <v>665.80254237288091</v>
      </c>
      <c r="AG195" s="38" t="s">
        <v>13</v>
      </c>
      <c r="AM195" s="43">
        <f>F195*AE195</f>
        <v>938.3949152542383</v>
      </c>
      <c r="AN195" s="43">
        <f>F195*AF195</f>
        <v>1331.6050847457618</v>
      </c>
      <c r="AO195" s="44" t="s">
        <v>668</v>
      </c>
      <c r="AP195" s="44" t="s">
        <v>694</v>
      </c>
      <c r="AQ195" s="34" t="s">
        <v>713</v>
      </c>
      <c r="AS195" s="43">
        <f>AM195+AN195</f>
        <v>2270</v>
      </c>
      <c r="AT195" s="43">
        <f>G195/(100-AU195)*100</f>
        <v>1135</v>
      </c>
      <c r="AU195" s="43">
        <v>0</v>
      </c>
      <c r="AV195" s="43">
        <f>L195</f>
        <v>1.6800000000000001E-3</v>
      </c>
    </row>
    <row r="196" spans="1:48">
      <c r="A196" s="6" t="s">
        <v>97</v>
      </c>
      <c r="B196" s="6" t="s">
        <v>197</v>
      </c>
      <c r="C196" s="6" t="s">
        <v>278</v>
      </c>
      <c r="D196" s="86" t="s">
        <v>495</v>
      </c>
      <c r="E196" s="6" t="s">
        <v>622</v>
      </c>
      <c r="F196" s="78">
        <v>2</v>
      </c>
      <c r="G196" s="27">
        <v>1373</v>
      </c>
      <c r="H196" s="19">
        <f>F196*AE196</f>
        <v>2746</v>
      </c>
      <c r="I196" s="19">
        <f>J196-H196</f>
        <v>0</v>
      </c>
      <c r="J196" s="19">
        <f>F196*G196</f>
        <v>2746</v>
      </c>
      <c r="K196" s="19">
        <v>8.0000000000000002E-3</v>
      </c>
      <c r="L196" s="19">
        <f>F196*K196</f>
        <v>1.6E-2</v>
      </c>
      <c r="M196" s="39" t="s">
        <v>643</v>
      </c>
      <c r="P196" s="43">
        <f>IF(AG196="5",J196,0)</f>
        <v>0</v>
      </c>
      <c r="R196" s="43">
        <f>IF(AG196="1",H196,0)</f>
        <v>0</v>
      </c>
      <c r="S196" s="43">
        <f>IF(AG196="1",I196,0)</f>
        <v>0</v>
      </c>
      <c r="T196" s="43">
        <f>IF(AG196="7",H196,0)</f>
        <v>2746</v>
      </c>
      <c r="U196" s="43">
        <f>IF(AG196="7",I196,0)</f>
        <v>0</v>
      </c>
      <c r="V196" s="43">
        <f>IF(AG196="2",H196,0)</f>
        <v>0</v>
      </c>
      <c r="W196" s="43">
        <f>IF(AG196="2",I196,0)</f>
        <v>0</v>
      </c>
      <c r="X196" s="43">
        <f>IF(AG196="0",J196,0)</f>
        <v>0</v>
      </c>
      <c r="Y196" s="34" t="s">
        <v>197</v>
      </c>
      <c r="Z196" s="19">
        <f>IF(AD196=0,J196,0)</f>
        <v>0</v>
      </c>
      <c r="AA196" s="19">
        <f>IF(AD196=15,J196,0)</f>
        <v>0</v>
      </c>
      <c r="AB196" s="19">
        <f>IF(AD196=21,J196,0)</f>
        <v>2746</v>
      </c>
      <c r="AD196" s="43">
        <v>21</v>
      </c>
      <c r="AE196" s="43">
        <f>G196*1</f>
        <v>1373</v>
      </c>
      <c r="AF196" s="43">
        <f>G196*(1-1)</f>
        <v>0</v>
      </c>
      <c r="AG196" s="39" t="s">
        <v>13</v>
      </c>
      <c r="AM196" s="43">
        <f>F196*AE196</f>
        <v>2746</v>
      </c>
      <c r="AN196" s="43">
        <f>F196*AF196</f>
        <v>0</v>
      </c>
      <c r="AO196" s="44" t="s">
        <v>668</v>
      </c>
      <c r="AP196" s="44" t="s">
        <v>694</v>
      </c>
      <c r="AQ196" s="34" t="s">
        <v>713</v>
      </c>
      <c r="AS196" s="43">
        <f>AM196+AN196</f>
        <v>2746</v>
      </c>
      <c r="AT196" s="43">
        <f>G196/(100-AU196)*100</f>
        <v>1373</v>
      </c>
      <c r="AU196" s="43">
        <v>0</v>
      </c>
      <c r="AV196" s="43">
        <f>L196</f>
        <v>1.6E-2</v>
      </c>
    </row>
    <row r="197" spans="1:48">
      <c r="A197" s="5" t="s">
        <v>98</v>
      </c>
      <c r="B197" s="5" t="s">
        <v>197</v>
      </c>
      <c r="C197" s="5" t="s">
        <v>279</v>
      </c>
      <c r="D197" s="84" t="s">
        <v>452</v>
      </c>
      <c r="E197" s="5" t="s">
        <v>622</v>
      </c>
      <c r="F197" s="76">
        <v>2</v>
      </c>
      <c r="G197" s="25">
        <v>1896</v>
      </c>
      <c r="H197" s="18">
        <f>F197*AE197</f>
        <v>3353.9479699248132</v>
      </c>
      <c r="I197" s="18">
        <f>J197-H197</f>
        <v>438.05203007518685</v>
      </c>
      <c r="J197" s="18">
        <f>F197*G197</f>
        <v>3792</v>
      </c>
      <c r="K197" s="18">
        <v>1.0399999999999999E-3</v>
      </c>
      <c r="L197" s="18">
        <f>F197*K197</f>
        <v>2.0799999999999998E-3</v>
      </c>
      <c r="M197" s="38" t="s">
        <v>643</v>
      </c>
      <c r="P197" s="43">
        <f>IF(AG197="5",J197,0)</f>
        <v>0</v>
      </c>
      <c r="R197" s="43">
        <f>IF(AG197="1",H197,0)</f>
        <v>0</v>
      </c>
      <c r="S197" s="43">
        <f>IF(AG197="1",I197,0)</f>
        <v>0</v>
      </c>
      <c r="T197" s="43">
        <f>IF(AG197="7",H197,0)</f>
        <v>3353.9479699248132</v>
      </c>
      <c r="U197" s="43">
        <f>IF(AG197="7",I197,0)</f>
        <v>438.05203007518685</v>
      </c>
      <c r="V197" s="43">
        <f>IF(AG197="2",H197,0)</f>
        <v>0</v>
      </c>
      <c r="W197" s="43">
        <f>IF(AG197="2",I197,0)</f>
        <v>0</v>
      </c>
      <c r="X197" s="43">
        <f>IF(AG197="0",J197,0)</f>
        <v>0</v>
      </c>
      <c r="Y197" s="34" t="s">
        <v>197</v>
      </c>
      <c r="Z197" s="18">
        <f>IF(AD197=0,J197,0)</f>
        <v>0</v>
      </c>
      <c r="AA197" s="18">
        <f>IF(AD197=15,J197,0)</f>
        <v>0</v>
      </c>
      <c r="AB197" s="18">
        <f>IF(AD197=21,J197,0)</f>
        <v>3792</v>
      </c>
      <c r="AD197" s="43">
        <v>21</v>
      </c>
      <c r="AE197" s="43">
        <f>G197*0.884479949874687</f>
        <v>1676.9739849624066</v>
      </c>
      <c r="AF197" s="43">
        <f>G197*(1-0.884479949874687)</f>
        <v>219.0260150375934</v>
      </c>
      <c r="AG197" s="38" t="s">
        <v>13</v>
      </c>
      <c r="AM197" s="43">
        <f>F197*AE197</f>
        <v>3353.9479699248132</v>
      </c>
      <c r="AN197" s="43">
        <f>F197*AF197</f>
        <v>438.05203007518679</v>
      </c>
      <c r="AO197" s="44" t="s">
        <v>668</v>
      </c>
      <c r="AP197" s="44" t="s">
        <v>694</v>
      </c>
      <c r="AQ197" s="34" t="s">
        <v>713</v>
      </c>
      <c r="AS197" s="43">
        <f>AM197+AN197</f>
        <v>3792</v>
      </c>
      <c r="AT197" s="43">
        <f>G197/(100-AU197)*100</f>
        <v>1896</v>
      </c>
      <c r="AU197" s="43">
        <v>0</v>
      </c>
      <c r="AV197" s="43">
        <f>L197</f>
        <v>2.0799999999999998E-3</v>
      </c>
    </row>
    <row r="198" spans="1:48">
      <c r="A198" s="4"/>
      <c r="B198" s="14" t="s">
        <v>197</v>
      </c>
      <c r="C198" s="14" t="s">
        <v>280</v>
      </c>
      <c r="D198" s="83" t="s">
        <v>496</v>
      </c>
      <c r="E198" s="4" t="s">
        <v>6</v>
      </c>
      <c r="F198" s="4" t="s">
        <v>6</v>
      </c>
      <c r="G198" s="24" t="s">
        <v>6</v>
      </c>
      <c r="H198" s="46">
        <f>SUM(H199:H206)</f>
        <v>4600.6625000000004</v>
      </c>
      <c r="I198" s="46">
        <f>SUM(I199:I206)</f>
        <v>2470</v>
      </c>
      <c r="J198" s="46">
        <f>H198+I198</f>
        <v>7070.6625000000004</v>
      </c>
      <c r="K198" s="34"/>
      <c r="L198" s="46">
        <f>SUM(L199:L206)</f>
        <v>1.8499999999999999E-3</v>
      </c>
      <c r="M198" s="34"/>
      <c r="Y198" s="34" t="s">
        <v>197</v>
      </c>
      <c r="AI198" s="46">
        <f>SUM(Z199:Z206)</f>
        <v>0</v>
      </c>
      <c r="AJ198" s="46">
        <f>SUM(AA199:AA206)</f>
        <v>0</v>
      </c>
      <c r="AK198" s="46">
        <f>SUM(AB199:AB206)</f>
        <v>7070.6625000000004</v>
      </c>
    </row>
    <row r="199" spans="1:48" ht="25.5">
      <c r="A199" s="5" t="s">
        <v>99</v>
      </c>
      <c r="B199" s="5" t="s">
        <v>197</v>
      </c>
      <c r="C199" s="5" t="s">
        <v>281</v>
      </c>
      <c r="D199" s="84" t="s">
        <v>497</v>
      </c>
      <c r="E199" s="5" t="s">
        <v>625</v>
      </c>
      <c r="F199" s="76">
        <v>4.5</v>
      </c>
      <c r="G199" s="25">
        <v>360</v>
      </c>
      <c r="H199" s="18">
        <f>F199*AE199</f>
        <v>0</v>
      </c>
      <c r="I199" s="18">
        <f>J199-H199</f>
        <v>1620</v>
      </c>
      <c r="J199" s="18">
        <f>F199*G199</f>
        <v>1620</v>
      </c>
      <c r="K199" s="18">
        <v>0</v>
      </c>
      <c r="L199" s="18">
        <f>F199*K199</f>
        <v>0</v>
      </c>
      <c r="M199" s="38" t="s">
        <v>643</v>
      </c>
      <c r="P199" s="43">
        <f>IF(AG199="5",J199,0)</f>
        <v>0</v>
      </c>
      <c r="R199" s="43">
        <f>IF(AG199="1",H199,0)</f>
        <v>0</v>
      </c>
      <c r="S199" s="43">
        <f>IF(AG199="1",I199,0)</f>
        <v>0</v>
      </c>
      <c r="T199" s="43">
        <f>IF(AG199="7",H199,0)</f>
        <v>0</v>
      </c>
      <c r="U199" s="43">
        <f>IF(AG199="7",I199,0)</f>
        <v>1620</v>
      </c>
      <c r="V199" s="43">
        <f>IF(AG199="2",H199,0)</f>
        <v>0</v>
      </c>
      <c r="W199" s="43">
        <f>IF(AG199="2",I199,0)</f>
        <v>0</v>
      </c>
      <c r="X199" s="43">
        <f>IF(AG199="0",J199,0)</f>
        <v>0</v>
      </c>
      <c r="Y199" s="34" t="s">
        <v>197</v>
      </c>
      <c r="Z199" s="18">
        <f>IF(AD199=0,J199,0)</f>
        <v>0</v>
      </c>
      <c r="AA199" s="18">
        <f>IF(AD199=15,J199,0)</f>
        <v>0</v>
      </c>
      <c r="AB199" s="18">
        <f>IF(AD199=21,J199,0)</f>
        <v>1620</v>
      </c>
      <c r="AD199" s="43">
        <v>21</v>
      </c>
      <c r="AE199" s="43">
        <f>G199*0</f>
        <v>0</v>
      </c>
      <c r="AF199" s="43">
        <f>G199*(1-0)</f>
        <v>360</v>
      </c>
      <c r="AG199" s="38" t="s">
        <v>13</v>
      </c>
      <c r="AM199" s="43">
        <f>F199*AE199</f>
        <v>0</v>
      </c>
      <c r="AN199" s="43">
        <f>F199*AF199</f>
        <v>1620</v>
      </c>
      <c r="AO199" s="44" t="s">
        <v>672</v>
      </c>
      <c r="AP199" s="44" t="s">
        <v>694</v>
      </c>
      <c r="AQ199" s="34" t="s">
        <v>713</v>
      </c>
      <c r="AS199" s="43">
        <f>AM199+AN199</f>
        <v>1620</v>
      </c>
      <c r="AT199" s="43">
        <f>G199/(100-AU199)*100</f>
        <v>360</v>
      </c>
      <c r="AU199" s="43">
        <v>0</v>
      </c>
      <c r="AV199" s="43">
        <f>L199</f>
        <v>0</v>
      </c>
    </row>
    <row r="200" spans="1:48">
      <c r="A200" s="6" t="s">
        <v>100</v>
      </c>
      <c r="B200" s="6" t="s">
        <v>197</v>
      </c>
      <c r="C200" s="6" t="s">
        <v>282</v>
      </c>
      <c r="D200" s="86" t="s">
        <v>498</v>
      </c>
      <c r="E200" s="6" t="s">
        <v>622</v>
      </c>
      <c r="F200" s="78">
        <v>4.7249999999999996</v>
      </c>
      <c r="G200" s="27">
        <v>188.5</v>
      </c>
      <c r="H200" s="19">
        <f>F200*AE200</f>
        <v>890.66249999999991</v>
      </c>
      <c r="I200" s="19">
        <f>J200-H200</f>
        <v>0</v>
      </c>
      <c r="J200" s="19">
        <f>F200*G200</f>
        <v>890.66249999999991</v>
      </c>
      <c r="K200" s="19">
        <v>0</v>
      </c>
      <c r="L200" s="19">
        <f>F200*K200</f>
        <v>0</v>
      </c>
      <c r="M200" s="39" t="s">
        <v>643</v>
      </c>
      <c r="P200" s="43">
        <f>IF(AG200="5",J200,0)</f>
        <v>0</v>
      </c>
      <c r="R200" s="43">
        <f>IF(AG200="1",H200,0)</f>
        <v>0</v>
      </c>
      <c r="S200" s="43">
        <f>IF(AG200="1",I200,0)</f>
        <v>0</v>
      </c>
      <c r="T200" s="43">
        <f>IF(AG200="7",H200,0)</f>
        <v>890.66249999999991</v>
      </c>
      <c r="U200" s="43">
        <f>IF(AG200="7",I200,0)</f>
        <v>0</v>
      </c>
      <c r="V200" s="43">
        <f>IF(AG200="2",H200,0)</f>
        <v>0</v>
      </c>
      <c r="W200" s="43">
        <f>IF(AG200="2",I200,0)</f>
        <v>0</v>
      </c>
      <c r="X200" s="43">
        <f>IF(AG200="0",J200,0)</f>
        <v>0</v>
      </c>
      <c r="Y200" s="34" t="s">
        <v>197</v>
      </c>
      <c r="Z200" s="19">
        <f>IF(AD200=0,J200,0)</f>
        <v>0</v>
      </c>
      <c r="AA200" s="19">
        <f>IF(AD200=15,J200,0)</f>
        <v>0</v>
      </c>
      <c r="AB200" s="19">
        <f>IF(AD200=21,J200,0)</f>
        <v>890.66249999999991</v>
      </c>
      <c r="AD200" s="43">
        <v>21</v>
      </c>
      <c r="AE200" s="43">
        <f>G200*1</f>
        <v>188.5</v>
      </c>
      <c r="AF200" s="43">
        <f>G200*(1-1)</f>
        <v>0</v>
      </c>
      <c r="AG200" s="39" t="s">
        <v>13</v>
      </c>
      <c r="AM200" s="43">
        <f>F200*AE200</f>
        <v>890.66249999999991</v>
      </c>
      <c r="AN200" s="43">
        <f>F200*AF200</f>
        <v>0</v>
      </c>
      <c r="AO200" s="44" t="s">
        <v>672</v>
      </c>
      <c r="AP200" s="44" t="s">
        <v>694</v>
      </c>
      <c r="AQ200" s="34" t="s">
        <v>713</v>
      </c>
      <c r="AS200" s="43">
        <f>AM200+AN200</f>
        <v>890.66249999999991</v>
      </c>
      <c r="AT200" s="43">
        <f>G200/(100-AU200)*100</f>
        <v>188.5</v>
      </c>
      <c r="AU200" s="43">
        <v>0</v>
      </c>
      <c r="AV200" s="43">
        <f>L200</f>
        <v>0</v>
      </c>
    </row>
    <row r="201" spans="1:48">
      <c r="D201" s="85" t="s">
        <v>499</v>
      </c>
      <c r="F201" s="77">
        <v>4.5</v>
      </c>
      <c r="G201" s="26"/>
    </row>
    <row r="202" spans="1:48">
      <c r="D202" s="85" t="s">
        <v>500</v>
      </c>
      <c r="F202" s="77">
        <v>0.22500000000000001</v>
      </c>
      <c r="G202" s="26"/>
    </row>
    <row r="203" spans="1:48">
      <c r="A203" s="5" t="s">
        <v>101</v>
      </c>
      <c r="B203" s="5" t="s">
        <v>197</v>
      </c>
      <c r="C203" s="5" t="s">
        <v>283</v>
      </c>
      <c r="D203" s="84" t="s">
        <v>501</v>
      </c>
      <c r="E203" s="5" t="s">
        <v>622</v>
      </c>
      <c r="F203" s="76">
        <v>2</v>
      </c>
      <c r="G203" s="25">
        <v>275</v>
      </c>
      <c r="H203" s="18">
        <f>F203*AE203</f>
        <v>0</v>
      </c>
      <c r="I203" s="18">
        <f>J203-H203</f>
        <v>550</v>
      </c>
      <c r="J203" s="18">
        <f>F203*G203</f>
        <v>550</v>
      </c>
      <c r="K203" s="18">
        <v>0</v>
      </c>
      <c r="L203" s="18">
        <f>F203*K203</f>
        <v>0</v>
      </c>
      <c r="M203" s="38" t="s">
        <v>643</v>
      </c>
      <c r="P203" s="43">
        <f>IF(AG203="5",J203,0)</f>
        <v>0</v>
      </c>
      <c r="R203" s="43">
        <f>IF(AG203="1",H203,0)</f>
        <v>0</v>
      </c>
      <c r="S203" s="43">
        <f>IF(AG203="1",I203,0)</f>
        <v>0</v>
      </c>
      <c r="T203" s="43">
        <f>IF(AG203="7",H203,0)</f>
        <v>0</v>
      </c>
      <c r="U203" s="43">
        <f>IF(AG203="7",I203,0)</f>
        <v>550</v>
      </c>
      <c r="V203" s="43">
        <f>IF(AG203="2",H203,0)</f>
        <v>0</v>
      </c>
      <c r="W203" s="43">
        <f>IF(AG203="2",I203,0)</f>
        <v>0</v>
      </c>
      <c r="X203" s="43">
        <f>IF(AG203="0",J203,0)</f>
        <v>0</v>
      </c>
      <c r="Y203" s="34" t="s">
        <v>197</v>
      </c>
      <c r="Z203" s="18">
        <f>IF(AD203=0,J203,0)</f>
        <v>0</v>
      </c>
      <c r="AA203" s="18">
        <f>IF(AD203=15,J203,0)</f>
        <v>0</v>
      </c>
      <c r="AB203" s="18">
        <f>IF(AD203=21,J203,0)</f>
        <v>550</v>
      </c>
      <c r="AD203" s="43">
        <v>21</v>
      </c>
      <c r="AE203" s="43">
        <f>G203*0</f>
        <v>0</v>
      </c>
      <c r="AF203" s="43">
        <f>G203*(1-0)</f>
        <v>275</v>
      </c>
      <c r="AG203" s="38" t="s">
        <v>13</v>
      </c>
      <c r="AM203" s="43">
        <f>F203*AE203</f>
        <v>0</v>
      </c>
      <c r="AN203" s="43">
        <f>F203*AF203</f>
        <v>550</v>
      </c>
      <c r="AO203" s="44" t="s">
        <v>672</v>
      </c>
      <c r="AP203" s="44" t="s">
        <v>694</v>
      </c>
      <c r="AQ203" s="34" t="s">
        <v>713</v>
      </c>
      <c r="AS203" s="43">
        <f>AM203+AN203</f>
        <v>550</v>
      </c>
      <c r="AT203" s="43">
        <f>G203/(100-AU203)*100</f>
        <v>275</v>
      </c>
      <c r="AU203" s="43">
        <v>0</v>
      </c>
      <c r="AV203" s="43">
        <f>L203</f>
        <v>0</v>
      </c>
    </row>
    <row r="204" spans="1:48">
      <c r="A204" s="6" t="s">
        <v>102</v>
      </c>
      <c r="B204" s="6" t="s">
        <v>197</v>
      </c>
      <c r="C204" s="6" t="s">
        <v>284</v>
      </c>
      <c r="D204" s="86" t="s">
        <v>502</v>
      </c>
      <c r="E204" s="6" t="s">
        <v>622</v>
      </c>
      <c r="F204" s="78">
        <v>2</v>
      </c>
      <c r="G204" s="27">
        <v>455</v>
      </c>
      <c r="H204" s="19">
        <f>F204*AE204</f>
        <v>910</v>
      </c>
      <c r="I204" s="19">
        <f>J204-H204</f>
        <v>0</v>
      </c>
      <c r="J204" s="19">
        <f>F204*G204</f>
        <v>910</v>
      </c>
      <c r="K204" s="19">
        <v>5.9999999999999995E-4</v>
      </c>
      <c r="L204" s="19">
        <f>F204*K204</f>
        <v>1.1999999999999999E-3</v>
      </c>
      <c r="M204" s="39" t="s">
        <v>643</v>
      </c>
      <c r="P204" s="43">
        <f>IF(AG204="5",J204,0)</f>
        <v>0</v>
      </c>
      <c r="R204" s="43">
        <f>IF(AG204="1",H204,0)</f>
        <v>0</v>
      </c>
      <c r="S204" s="43">
        <f>IF(AG204="1",I204,0)</f>
        <v>0</v>
      </c>
      <c r="T204" s="43">
        <f>IF(AG204="7",H204,0)</f>
        <v>910</v>
      </c>
      <c r="U204" s="43">
        <f>IF(AG204="7",I204,0)</f>
        <v>0</v>
      </c>
      <c r="V204" s="43">
        <f>IF(AG204="2",H204,0)</f>
        <v>0</v>
      </c>
      <c r="W204" s="43">
        <f>IF(AG204="2",I204,0)</f>
        <v>0</v>
      </c>
      <c r="X204" s="43">
        <f>IF(AG204="0",J204,0)</f>
        <v>0</v>
      </c>
      <c r="Y204" s="34" t="s">
        <v>197</v>
      </c>
      <c r="Z204" s="19">
        <f>IF(AD204=0,J204,0)</f>
        <v>0</v>
      </c>
      <c r="AA204" s="19">
        <f>IF(AD204=15,J204,0)</f>
        <v>0</v>
      </c>
      <c r="AB204" s="19">
        <f>IF(AD204=21,J204,0)</f>
        <v>910</v>
      </c>
      <c r="AD204" s="43">
        <v>21</v>
      </c>
      <c r="AE204" s="43">
        <f>G204*1</f>
        <v>455</v>
      </c>
      <c r="AF204" s="43">
        <f>G204*(1-1)</f>
        <v>0</v>
      </c>
      <c r="AG204" s="39" t="s">
        <v>13</v>
      </c>
      <c r="AM204" s="43">
        <f>F204*AE204</f>
        <v>910</v>
      </c>
      <c r="AN204" s="43">
        <f>F204*AF204</f>
        <v>0</v>
      </c>
      <c r="AO204" s="44" t="s">
        <v>672</v>
      </c>
      <c r="AP204" s="44" t="s">
        <v>694</v>
      </c>
      <c r="AQ204" s="34" t="s">
        <v>713</v>
      </c>
      <c r="AS204" s="43">
        <f>AM204+AN204</f>
        <v>910</v>
      </c>
      <c r="AT204" s="43">
        <f>G204/(100-AU204)*100</f>
        <v>455</v>
      </c>
      <c r="AU204" s="43">
        <v>0</v>
      </c>
      <c r="AV204" s="43">
        <f>L204</f>
        <v>1.1999999999999999E-3</v>
      </c>
    </row>
    <row r="205" spans="1:48">
      <c r="A205" s="5" t="s">
        <v>103</v>
      </c>
      <c r="B205" s="5" t="s">
        <v>197</v>
      </c>
      <c r="C205" s="5" t="s">
        <v>285</v>
      </c>
      <c r="D205" s="84" t="s">
        <v>503</v>
      </c>
      <c r="E205" s="5" t="s">
        <v>622</v>
      </c>
      <c r="F205" s="76">
        <v>1</v>
      </c>
      <c r="G205" s="25">
        <v>300</v>
      </c>
      <c r="H205" s="18">
        <f>F205*AE205</f>
        <v>0</v>
      </c>
      <c r="I205" s="18">
        <f>J205-H205</f>
        <v>300</v>
      </c>
      <c r="J205" s="18">
        <f>F205*G205</f>
        <v>300</v>
      </c>
      <c r="K205" s="18">
        <v>0</v>
      </c>
      <c r="L205" s="18">
        <f>F205*K205</f>
        <v>0</v>
      </c>
      <c r="M205" s="38" t="s">
        <v>643</v>
      </c>
      <c r="P205" s="43">
        <f>IF(AG205="5",J205,0)</f>
        <v>0</v>
      </c>
      <c r="R205" s="43">
        <f>IF(AG205="1",H205,0)</f>
        <v>0</v>
      </c>
      <c r="S205" s="43">
        <f>IF(AG205="1",I205,0)</f>
        <v>0</v>
      </c>
      <c r="T205" s="43">
        <f>IF(AG205="7",H205,0)</f>
        <v>0</v>
      </c>
      <c r="U205" s="43">
        <f>IF(AG205="7",I205,0)</f>
        <v>300</v>
      </c>
      <c r="V205" s="43">
        <f>IF(AG205="2",H205,0)</f>
        <v>0</v>
      </c>
      <c r="W205" s="43">
        <f>IF(AG205="2",I205,0)</f>
        <v>0</v>
      </c>
      <c r="X205" s="43">
        <f>IF(AG205="0",J205,0)</f>
        <v>0</v>
      </c>
      <c r="Y205" s="34" t="s">
        <v>197</v>
      </c>
      <c r="Z205" s="18">
        <f>IF(AD205=0,J205,0)</f>
        <v>0</v>
      </c>
      <c r="AA205" s="18">
        <f>IF(AD205=15,J205,0)</f>
        <v>0</v>
      </c>
      <c r="AB205" s="18">
        <f>IF(AD205=21,J205,0)</f>
        <v>300</v>
      </c>
      <c r="AD205" s="43">
        <v>21</v>
      </c>
      <c r="AE205" s="43">
        <f>G205*0</f>
        <v>0</v>
      </c>
      <c r="AF205" s="43">
        <f>G205*(1-0)</f>
        <v>300</v>
      </c>
      <c r="AG205" s="38" t="s">
        <v>13</v>
      </c>
      <c r="AM205" s="43">
        <f>F205*AE205</f>
        <v>0</v>
      </c>
      <c r="AN205" s="43">
        <f>F205*AF205</f>
        <v>300</v>
      </c>
      <c r="AO205" s="44" t="s">
        <v>672</v>
      </c>
      <c r="AP205" s="44" t="s">
        <v>694</v>
      </c>
      <c r="AQ205" s="34" t="s">
        <v>713</v>
      </c>
      <c r="AS205" s="43">
        <f>AM205+AN205</f>
        <v>300</v>
      </c>
      <c r="AT205" s="43">
        <f>G205/(100-AU205)*100</f>
        <v>300</v>
      </c>
      <c r="AU205" s="43">
        <v>0</v>
      </c>
      <c r="AV205" s="43">
        <f>L205</f>
        <v>0</v>
      </c>
    </row>
    <row r="206" spans="1:48">
      <c r="A206" s="6" t="s">
        <v>104</v>
      </c>
      <c r="B206" s="6" t="s">
        <v>197</v>
      </c>
      <c r="C206" s="6" t="s">
        <v>286</v>
      </c>
      <c r="D206" s="86" t="s">
        <v>504</v>
      </c>
      <c r="E206" s="6" t="s">
        <v>622</v>
      </c>
      <c r="F206" s="78">
        <v>1</v>
      </c>
      <c r="G206" s="27">
        <v>2800</v>
      </c>
      <c r="H206" s="19">
        <f>F206*AE206</f>
        <v>2800</v>
      </c>
      <c r="I206" s="19">
        <f>J206-H206</f>
        <v>0</v>
      </c>
      <c r="J206" s="19">
        <f>F206*G206</f>
        <v>2800</v>
      </c>
      <c r="K206" s="19">
        <v>6.4999999999999997E-4</v>
      </c>
      <c r="L206" s="19">
        <f>F206*K206</f>
        <v>6.4999999999999997E-4</v>
      </c>
      <c r="M206" s="39" t="s">
        <v>643</v>
      </c>
      <c r="P206" s="43">
        <f>IF(AG206="5",J206,0)</f>
        <v>0</v>
      </c>
      <c r="R206" s="43">
        <f>IF(AG206="1",H206,0)</f>
        <v>0</v>
      </c>
      <c r="S206" s="43">
        <f>IF(AG206="1",I206,0)</f>
        <v>0</v>
      </c>
      <c r="T206" s="43">
        <f>IF(AG206="7",H206,0)</f>
        <v>2800</v>
      </c>
      <c r="U206" s="43">
        <f>IF(AG206="7",I206,0)</f>
        <v>0</v>
      </c>
      <c r="V206" s="43">
        <f>IF(AG206="2",H206,0)</f>
        <v>0</v>
      </c>
      <c r="W206" s="43">
        <f>IF(AG206="2",I206,0)</f>
        <v>0</v>
      </c>
      <c r="X206" s="43">
        <f>IF(AG206="0",J206,0)</f>
        <v>0</v>
      </c>
      <c r="Y206" s="34" t="s">
        <v>197</v>
      </c>
      <c r="Z206" s="19">
        <f>IF(AD206=0,J206,0)</f>
        <v>0</v>
      </c>
      <c r="AA206" s="19">
        <f>IF(AD206=15,J206,0)</f>
        <v>0</v>
      </c>
      <c r="AB206" s="19">
        <f>IF(AD206=21,J206,0)</f>
        <v>2800</v>
      </c>
      <c r="AD206" s="43">
        <v>21</v>
      </c>
      <c r="AE206" s="43">
        <f>G206*1</f>
        <v>2800</v>
      </c>
      <c r="AF206" s="43">
        <f>G206*(1-1)</f>
        <v>0</v>
      </c>
      <c r="AG206" s="39" t="s">
        <v>13</v>
      </c>
      <c r="AM206" s="43">
        <f>F206*AE206</f>
        <v>2800</v>
      </c>
      <c r="AN206" s="43">
        <f>F206*AF206</f>
        <v>0</v>
      </c>
      <c r="AO206" s="44" t="s">
        <v>672</v>
      </c>
      <c r="AP206" s="44" t="s">
        <v>694</v>
      </c>
      <c r="AQ206" s="34" t="s">
        <v>713</v>
      </c>
      <c r="AS206" s="43">
        <f>AM206+AN206</f>
        <v>2800</v>
      </c>
      <c r="AT206" s="43">
        <f>G206/(100-AU206)*100</f>
        <v>2800</v>
      </c>
      <c r="AU206" s="43">
        <v>0</v>
      </c>
      <c r="AV206" s="43">
        <f>L206</f>
        <v>6.4999999999999997E-4</v>
      </c>
    </row>
    <row r="207" spans="1:48">
      <c r="A207" s="4"/>
      <c r="B207" s="14" t="s">
        <v>197</v>
      </c>
      <c r="C207" s="14" t="s">
        <v>215</v>
      </c>
      <c r="D207" s="83" t="s">
        <v>369</v>
      </c>
      <c r="E207" s="4" t="s">
        <v>6</v>
      </c>
      <c r="F207" s="4" t="s">
        <v>6</v>
      </c>
      <c r="G207" s="24" t="s">
        <v>6</v>
      </c>
      <c r="H207" s="46">
        <f>SUM(H208:H211)</f>
        <v>86.899447167196314</v>
      </c>
      <c r="I207" s="46">
        <f>SUM(I208:I211)</f>
        <v>619.08155283280371</v>
      </c>
      <c r="J207" s="46">
        <f>H207+I207</f>
        <v>705.98099999999999</v>
      </c>
      <c r="K207" s="34"/>
      <c r="L207" s="46">
        <f>SUM(L208:L211)</f>
        <v>2.2347599999999997E-3</v>
      </c>
      <c r="M207" s="34"/>
      <c r="Y207" s="34" t="s">
        <v>197</v>
      </c>
      <c r="AI207" s="46">
        <f>SUM(Z208:Z211)</f>
        <v>0</v>
      </c>
      <c r="AJ207" s="46">
        <f>SUM(AA208:AA211)</f>
        <v>0</v>
      </c>
      <c r="AK207" s="46">
        <f>SUM(AB208:AB211)</f>
        <v>705.98099999999999</v>
      </c>
    </row>
    <row r="208" spans="1:48">
      <c r="A208" s="5" t="s">
        <v>105</v>
      </c>
      <c r="B208" s="5" t="s">
        <v>197</v>
      </c>
      <c r="C208" s="5" t="s">
        <v>236</v>
      </c>
      <c r="D208" s="84" t="s">
        <v>470</v>
      </c>
      <c r="E208" s="5" t="s">
        <v>620</v>
      </c>
      <c r="F208" s="76">
        <v>10.157999999999999</v>
      </c>
      <c r="G208" s="25">
        <v>18.600000000000001</v>
      </c>
      <c r="H208" s="18">
        <f>F208*AE208</f>
        <v>38.38242998694821</v>
      </c>
      <c r="I208" s="18">
        <f>J208-H208</f>
        <v>150.5563700130518</v>
      </c>
      <c r="J208" s="18">
        <f>F208*G208</f>
        <v>188.93880000000001</v>
      </c>
      <c r="K208" s="18">
        <v>6.9999999999999994E-5</v>
      </c>
      <c r="L208" s="18">
        <f>F208*K208</f>
        <v>7.110599999999999E-4</v>
      </c>
      <c r="M208" s="38" t="s">
        <v>644</v>
      </c>
      <c r="P208" s="43">
        <f>IF(AG208="5",J208,0)</f>
        <v>0</v>
      </c>
      <c r="R208" s="43">
        <f>IF(AG208="1",H208,0)</f>
        <v>0</v>
      </c>
      <c r="S208" s="43">
        <f>IF(AG208="1",I208,0)</f>
        <v>0</v>
      </c>
      <c r="T208" s="43">
        <f>IF(AG208="7",H208,0)</f>
        <v>38.38242998694821</v>
      </c>
      <c r="U208" s="43">
        <f>IF(AG208="7",I208,0)</f>
        <v>150.5563700130518</v>
      </c>
      <c r="V208" s="43">
        <f>IF(AG208="2",H208,0)</f>
        <v>0</v>
      </c>
      <c r="W208" s="43">
        <f>IF(AG208="2",I208,0)</f>
        <v>0</v>
      </c>
      <c r="X208" s="43">
        <f>IF(AG208="0",J208,0)</f>
        <v>0</v>
      </c>
      <c r="Y208" s="34" t="s">
        <v>197</v>
      </c>
      <c r="Z208" s="18">
        <f>IF(AD208=0,J208,0)</f>
        <v>0</v>
      </c>
      <c r="AA208" s="18">
        <f>IF(AD208=15,J208,0)</f>
        <v>0</v>
      </c>
      <c r="AB208" s="18">
        <f>IF(AD208=21,J208,0)</f>
        <v>188.93880000000001</v>
      </c>
      <c r="AD208" s="43">
        <v>21</v>
      </c>
      <c r="AE208" s="43">
        <f>G208*0.203147421212309</f>
        <v>3.7785420345489475</v>
      </c>
      <c r="AF208" s="43">
        <f>G208*(1-0.203147421212309)</f>
        <v>14.821457965451053</v>
      </c>
      <c r="AG208" s="38" t="s">
        <v>13</v>
      </c>
      <c r="AM208" s="43">
        <f>F208*AE208</f>
        <v>38.38242998694821</v>
      </c>
      <c r="AN208" s="43">
        <f>F208*AF208</f>
        <v>150.55637001305178</v>
      </c>
      <c r="AO208" s="44" t="s">
        <v>660</v>
      </c>
      <c r="AP208" s="44" t="s">
        <v>695</v>
      </c>
      <c r="AQ208" s="34" t="s">
        <v>713</v>
      </c>
      <c r="AS208" s="43">
        <f>AM208+AN208</f>
        <v>188.93879999999999</v>
      </c>
      <c r="AT208" s="43">
        <f>G208/(100-AU208)*100</f>
        <v>18.600000000000001</v>
      </c>
      <c r="AU208" s="43">
        <v>0</v>
      </c>
      <c r="AV208" s="43">
        <f>L208</f>
        <v>7.110599999999999E-4</v>
      </c>
    </row>
    <row r="209" spans="1:48">
      <c r="D209" s="85" t="s">
        <v>505</v>
      </c>
      <c r="F209" s="77">
        <v>7.2779999999999996</v>
      </c>
      <c r="G209" s="26"/>
    </row>
    <row r="210" spans="1:48">
      <c r="D210" s="85" t="s">
        <v>506</v>
      </c>
      <c r="F210" s="77">
        <v>2.88</v>
      </c>
      <c r="G210" s="26"/>
    </row>
    <row r="211" spans="1:48">
      <c r="A211" s="5" t="s">
        <v>106</v>
      </c>
      <c r="B211" s="5" t="s">
        <v>197</v>
      </c>
      <c r="C211" s="5" t="s">
        <v>237</v>
      </c>
      <c r="D211" s="84" t="s">
        <v>414</v>
      </c>
      <c r="E211" s="5" t="s">
        <v>620</v>
      </c>
      <c r="F211" s="76">
        <v>10.157999999999999</v>
      </c>
      <c r="G211" s="25">
        <v>50.9</v>
      </c>
      <c r="H211" s="18">
        <f>F211*AE211</f>
        <v>48.517017180248111</v>
      </c>
      <c r="I211" s="18">
        <f>J211-H211</f>
        <v>468.52518281975188</v>
      </c>
      <c r="J211" s="18">
        <f>F211*G211</f>
        <v>517.04219999999998</v>
      </c>
      <c r="K211" s="18">
        <v>1.4999999999999999E-4</v>
      </c>
      <c r="L211" s="18">
        <f>F211*K211</f>
        <v>1.5236999999999998E-3</v>
      </c>
      <c r="M211" s="38" t="s">
        <v>644</v>
      </c>
      <c r="P211" s="43">
        <f>IF(AG211="5",J211,0)</f>
        <v>0</v>
      </c>
      <c r="R211" s="43">
        <f>IF(AG211="1",H211,0)</f>
        <v>0</v>
      </c>
      <c r="S211" s="43">
        <f>IF(AG211="1",I211,0)</f>
        <v>0</v>
      </c>
      <c r="T211" s="43">
        <f>IF(AG211="7",H211,0)</f>
        <v>48.517017180248111</v>
      </c>
      <c r="U211" s="43">
        <f>IF(AG211="7",I211,0)</f>
        <v>468.52518281975188</v>
      </c>
      <c r="V211" s="43">
        <f>IF(AG211="2",H211,0)</f>
        <v>0</v>
      </c>
      <c r="W211" s="43">
        <f>IF(AG211="2",I211,0)</f>
        <v>0</v>
      </c>
      <c r="X211" s="43">
        <f>IF(AG211="0",J211,0)</f>
        <v>0</v>
      </c>
      <c r="Y211" s="34" t="s">
        <v>197</v>
      </c>
      <c r="Z211" s="18">
        <f>IF(AD211=0,J211,0)</f>
        <v>0</v>
      </c>
      <c r="AA211" s="18">
        <f>IF(AD211=15,J211,0)</f>
        <v>0</v>
      </c>
      <c r="AB211" s="18">
        <f>IF(AD211=21,J211,0)</f>
        <v>517.04219999999998</v>
      </c>
      <c r="AD211" s="43">
        <v>21</v>
      </c>
      <c r="AE211" s="43">
        <f>G211*0.0938357008001438</f>
        <v>4.7762371707273195</v>
      </c>
      <c r="AF211" s="43">
        <f>G211*(1-0.0938357008001438)</f>
        <v>46.123762829272678</v>
      </c>
      <c r="AG211" s="38" t="s">
        <v>13</v>
      </c>
      <c r="AM211" s="43">
        <f>F211*AE211</f>
        <v>48.517017180248111</v>
      </c>
      <c r="AN211" s="43">
        <f>F211*AF211</f>
        <v>468.52518281975182</v>
      </c>
      <c r="AO211" s="44" t="s">
        <v>660</v>
      </c>
      <c r="AP211" s="44" t="s">
        <v>695</v>
      </c>
      <c r="AQ211" s="34" t="s">
        <v>713</v>
      </c>
      <c r="AS211" s="43">
        <f>AM211+AN211</f>
        <v>517.04219999999998</v>
      </c>
      <c r="AT211" s="43">
        <f>G211/(100-AU211)*100</f>
        <v>50.9</v>
      </c>
      <c r="AU211" s="43">
        <v>0</v>
      </c>
      <c r="AV211" s="43">
        <f>L211</f>
        <v>1.5236999999999998E-3</v>
      </c>
    </row>
    <row r="212" spans="1:48">
      <c r="A212" s="4"/>
      <c r="B212" s="14" t="s">
        <v>197</v>
      </c>
      <c r="C212" s="14" t="s">
        <v>103</v>
      </c>
      <c r="D212" s="83" t="s">
        <v>373</v>
      </c>
      <c r="E212" s="4" t="s">
        <v>6</v>
      </c>
      <c r="F212" s="4" t="s">
        <v>6</v>
      </c>
      <c r="G212" s="24" t="s">
        <v>6</v>
      </c>
      <c r="H212" s="46">
        <f>SUM(H213:H213)</f>
        <v>388.95068493150785</v>
      </c>
      <c r="I212" s="46">
        <f>SUM(I213:I213)</f>
        <v>1991.0493150684922</v>
      </c>
      <c r="J212" s="46">
        <f>H212+I212</f>
        <v>2380</v>
      </c>
      <c r="K212" s="34"/>
      <c r="L212" s="46">
        <f>SUM(L213:L213)</f>
        <v>3.8164999999999998E-2</v>
      </c>
      <c r="M212" s="34"/>
      <c r="Y212" s="34" t="s">
        <v>197</v>
      </c>
      <c r="AI212" s="46">
        <f>SUM(Z213:Z213)</f>
        <v>0</v>
      </c>
      <c r="AJ212" s="46">
        <f>SUM(AA213:AA213)</f>
        <v>0</v>
      </c>
      <c r="AK212" s="46">
        <f>SUM(AB213:AB213)</f>
        <v>2380</v>
      </c>
    </row>
    <row r="213" spans="1:48">
      <c r="A213" s="5" t="s">
        <v>107</v>
      </c>
      <c r="B213" s="5" t="s">
        <v>197</v>
      </c>
      <c r="C213" s="5" t="s">
        <v>287</v>
      </c>
      <c r="D213" s="84" t="s">
        <v>507</v>
      </c>
      <c r="E213" s="5" t="s">
        <v>625</v>
      </c>
      <c r="F213" s="76">
        <v>8.5</v>
      </c>
      <c r="G213" s="25">
        <v>280</v>
      </c>
      <c r="H213" s="18">
        <f>F213*AE213</f>
        <v>388.95068493150785</v>
      </c>
      <c r="I213" s="18">
        <f>J213-H213</f>
        <v>1991.0493150684922</v>
      </c>
      <c r="J213" s="18">
        <f>F213*G213</f>
        <v>2380</v>
      </c>
      <c r="K213" s="18">
        <v>4.4900000000000001E-3</v>
      </c>
      <c r="L213" s="18">
        <f>F213*K213</f>
        <v>3.8164999999999998E-2</v>
      </c>
      <c r="M213" s="38" t="s">
        <v>643</v>
      </c>
      <c r="P213" s="43">
        <f>IF(AG213="5",J213,0)</f>
        <v>0</v>
      </c>
      <c r="R213" s="43">
        <f>IF(AG213="1",H213,0)</f>
        <v>388.95068493150785</v>
      </c>
      <c r="S213" s="43">
        <f>IF(AG213="1",I213,0)</f>
        <v>1991.0493150684922</v>
      </c>
      <c r="T213" s="43">
        <f>IF(AG213="7",H213,0)</f>
        <v>0</v>
      </c>
      <c r="U213" s="43">
        <f>IF(AG213="7",I213,0)</f>
        <v>0</v>
      </c>
      <c r="V213" s="43">
        <f>IF(AG213="2",H213,0)</f>
        <v>0</v>
      </c>
      <c r="W213" s="43">
        <f>IF(AG213="2",I213,0)</f>
        <v>0</v>
      </c>
      <c r="X213" s="43">
        <f>IF(AG213="0",J213,0)</f>
        <v>0</v>
      </c>
      <c r="Y213" s="34" t="s">
        <v>197</v>
      </c>
      <c r="Z213" s="18">
        <f>IF(AD213=0,J213,0)</f>
        <v>0</v>
      </c>
      <c r="AA213" s="18">
        <f>IF(AD213=15,J213,0)</f>
        <v>0</v>
      </c>
      <c r="AB213" s="18">
        <f>IF(AD213=21,J213,0)</f>
        <v>2380</v>
      </c>
      <c r="AD213" s="43">
        <v>21</v>
      </c>
      <c r="AE213" s="43">
        <f>G213*0.163424657534247</f>
        <v>45.75890410958916</v>
      </c>
      <c r="AF213" s="43">
        <f>G213*(1-0.163424657534247)</f>
        <v>234.24109589041083</v>
      </c>
      <c r="AG213" s="38" t="s">
        <v>7</v>
      </c>
      <c r="AM213" s="43">
        <f>F213*AE213</f>
        <v>388.95068493150785</v>
      </c>
      <c r="AN213" s="43">
        <f>F213*AF213</f>
        <v>1991.049315068492</v>
      </c>
      <c r="AO213" s="44" t="s">
        <v>661</v>
      </c>
      <c r="AP213" s="44" t="s">
        <v>696</v>
      </c>
      <c r="AQ213" s="34" t="s">
        <v>713</v>
      </c>
      <c r="AS213" s="43">
        <f>AM213+AN213</f>
        <v>2380</v>
      </c>
      <c r="AT213" s="43">
        <f>G213/(100-AU213)*100</f>
        <v>280</v>
      </c>
      <c r="AU213" s="43">
        <v>0</v>
      </c>
      <c r="AV213" s="43">
        <f>L213</f>
        <v>3.8164999999999998E-2</v>
      </c>
    </row>
    <row r="214" spans="1:48">
      <c r="A214" s="7"/>
      <c r="B214" s="15" t="s">
        <v>198</v>
      </c>
      <c r="C214" s="15"/>
      <c r="D214" s="87" t="s">
        <v>508</v>
      </c>
      <c r="E214" s="7" t="s">
        <v>6</v>
      </c>
      <c r="F214" s="7" t="s">
        <v>6</v>
      </c>
      <c r="G214" s="28" t="s">
        <v>6</v>
      </c>
      <c r="H214" s="47">
        <f>H215+H236+H239</f>
        <v>311240.39606168697</v>
      </c>
      <c r="I214" s="47">
        <f>I215+I236+I239</f>
        <v>34077.012938313099</v>
      </c>
      <c r="J214" s="47">
        <f>H214+I214</f>
        <v>345317.4090000001</v>
      </c>
      <c r="K214" s="35"/>
      <c r="L214" s="47">
        <f>L215+L236+L239</f>
        <v>0</v>
      </c>
      <c r="M214" s="35"/>
    </row>
    <row r="215" spans="1:48">
      <c r="A215" s="4"/>
      <c r="B215" s="14" t="s">
        <v>198</v>
      </c>
      <c r="C215" s="14" t="s">
        <v>228</v>
      </c>
      <c r="D215" s="83" t="s">
        <v>392</v>
      </c>
      <c r="E215" s="4" t="s">
        <v>6</v>
      </c>
      <c r="F215" s="4" t="s">
        <v>6</v>
      </c>
      <c r="G215" s="24" t="s">
        <v>6</v>
      </c>
      <c r="H215" s="46">
        <f>SUM(H216:H235)</f>
        <v>311239.16974287305</v>
      </c>
      <c r="I215" s="46">
        <f>SUM(I216:I235)</f>
        <v>31810.830257126992</v>
      </c>
      <c r="J215" s="46">
        <f>H215+I215</f>
        <v>343050.00000000006</v>
      </c>
      <c r="K215" s="34"/>
      <c r="L215" s="46">
        <f>SUM(L216:L235)</f>
        <v>0</v>
      </c>
      <c r="M215" s="34"/>
      <c r="Y215" s="34" t="s">
        <v>198</v>
      </c>
      <c r="AI215" s="46">
        <f>SUM(Z216:Z235)</f>
        <v>0</v>
      </c>
      <c r="AJ215" s="46">
        <f>SUM(AA216:AA235)</f>
        <v>0</v>
      </c>
      <c r="AK215" s="46">
        <f>SUM(AB216:AB235)</f>
        <v>343050</v>
      </c>
    </row>
    <row r="216" spans="1:48">
      <c r="A216" s="5" t="s">
        <v>108</v>
      </c>
      <c r="B216" s="5" t="s">
        <v>198</v>
      </c>
      <c r="C216" s="5" t="s">
        <v>288</v>
      </c>
      <c r="D216" s="84" t="s">
        <v>509</v>
      </c>
      <c r="E216" s="5" t="s">
        <v>622</v>
      </c>
      <c r="F216" s="76">
        <v>1</v>
      </c>
      <c r="G216" s="25">
        <v>44350</v>
      </c>
      <c r="H216" s="18">
        <f t="shared" ref="H216:H235" si="42">F216*AE216</f>
        <v>39004.753688311685</v>
      </c>
      <c r="I216" s="18">
        <f t="shared" ref="I216:I235" si="43">J216-H216</f>
        <v>5345.2463116883155</v>
      </c>
      <c r="J216" s="18">
        <f t="shared" ref="J216:J235" si="44">F216*G216</f>
        <v>44350</v>
      </c>
      <c r="K216" s="18">
        <v>0</v>
      </c>
      <c r="L216" s="18">
        <f t="shared" ref="L216:L235" si="45">F216*K216</f>
        <v>0</v>
      </c>
      <c r="M216" s="38" t="s">
        <v>643</v>
      </c>
      <c r="P216" s="43">
        <f t="shared" ref="P216:P235" si="46">IF(AG216="5",J216,0)</f>
        <v>0</v>
      </c>
      <c r="R216" s="43">
        <f t="shared" ref="R216:R235" si="47">IF(AG216="1",H216,0)</f>
        <v>0</v>
      </c>
      <c r="S216" s="43">
        <f t="shared" ref="S216:S235" si="48">IF(AG216="1",I216,0)</f>
        <v>0</v>
      </c>
      <c r="T216" s="43">
        <f t="shared" ref="T216:T235" si="49">IF(AG216="7",H216,0)</f>
        <v>39004.753688311685</v>
      </c>
      <c r="U216" s="43">
        <f t="shared" ref="U216:U235" si="50">IF(AG216="7",I216,0)</f>
        <v>5345.2463116883155</v>
      </c>
      <c r="V216" s="43">
        <f t="shared" ref="V216:V235" si="51">IF(AG216="2",H216,0)</f>
        <v>0</v>
      </c>
      <c r="W216" s="43">
        <f t="shared" ref="W216:W235" si="52">IF(AG216="2",I216,0)</f>
        <v>0</v>
      </c>
      <c r="X216" s="43">
        <f t="shared" ref="X216:X235" si="53">IF(AG216="0",J216,0)</f>
        <v>0</v>
      </c>
      <c r="Y216" s="34" t="s">
        <v>198</v>
      </c>
      <c r="Z216" s="18">
        <f t="shared" ref="Z216:Z235" si="54">IF(AD216=0,J216,0)</f>
        <v>0</v>
      </c>
      <c r="AA216" s="18">
        <f t="shared" ref="AA216:AA235" si="55">IF(AD216=15,J216,0)</f>
        <v>0</v>
      </c>
      <c r="AB216" s="18">
        <f t="shared" ref="AB216:AB235" si="56">IF(AD216=21,J216,0)</f>
        <v>44350</v>
      </c>
      <c r="AD216" s="43">
        <v>21</v>
      </c>
      <c r="AE216" s="43">
        <f>G216*0.879475844155844</f>
        <v>39004.753688311685</v>
      </c>
      <c r="AF216" s="43">
        <f>G216*(1-0.879475844155844)</f>
        <v>5345.2463116883182</v>
      </c>
      <c r="AG216" s="38" t="s">
        <v>13</v>
      </c>
      <c r="AM216" s="43">
        <f t="shared" ref="AM216:AM235" si="57">F216*AE216</f>
        <v>39004.753688311685</v>
      </c>
      <c r="AN216" s="43">
        <f t="shared" ref="AN216:AN235" si="58">F216*AF216</f>
        <v>5345.2463116883182</v>
      </c>
      <c r="AO216" s="44" t="s">
        <v>664</v>
      </c>
      <c r="AP216" s="44" t="s">
        <v>697</v>
      </c>
      <c r="AQ216" s="34" t="s">
        <v>714</v>
      </c>
      <c r="AS216" s="43">
        <f t="shared" ref="AS216:AS235" si="59">AM216+AN216</f>
        <v>44350</v>
      </c>
      <c r="AT216" s="43">
        <f t="shared" ref="AT216:AT235" si="60">G216/(100-AU216)*100</f>
        <v>44350</v>
      </c>
      <c r="AU216" s="43">
        <v>0</v>
      </c>
      <c r="AV216" s="43">
        <f t="shared" ref="AV216:AV235" si="61">L216</f>
        <v>0</v>
      </c>
    </row>
    <row r="217" spans="1:48" ht="25.5">
      <c r="A217" s="5" t="s">
        <v>109</v>
      </c>
      <c r="B217" s="5" t="s">
        <v>198</v>
      </c>
      <c r="C217" s="5" t="s">
        <v>289</v>
      </c>
      <c r="D217" s="84" t="s">
        <v>510</v>
      </c>
      <c r="E217" s="5" t="s">
        <v>622</v>
      </c>
      <c r="F217" s="76">
        <v>1</v>
      </c>
      <c r="G217" s="25">
        <v>13300</v>
      </c>
      <c r="H217" s="18">
        <f t="shared" si="42"/>
        <v>12121.682441314557</v>
      </c>
      <c r="I217" s="18">
        <f t="shared" si="43"/>
        <v>1178.3175586854431</v>
      </c>
      <c r="J217" s="18">
        <f t="shared" si="44"/>
        <v>13300</v>
      </c>
      <c r="K217" s="18">
        <v>0</v>
      </c>
      <c r="L217" s="18">
        <f t="shared" si="45"/>
        <v>0</v>
      </c>
      <c r="M217" s="38" t="s">
        <v>643</v>
      </c>
      <c r="P217" s="43">
        <f t="shared" si="46"/>
        <v>0</v>
      </c>
      <c r="R217" s="43">
        <f t="shared" si="47"/>
        <v>0</v>
      </c>
      <c r="S217" s="43">
        <f t="shared" si="48"/>
        <v>0</v>
      </c>
      <c r="T217" s="43">
        <f t="shared" si="49"/>
        <v>12121.682441314557</v>
      </c>
      <c r="U217" s="43">
        <f t="shared" si="50"/>
        <v>1178.3175586854431</v>
      </c>
      <c r="V217" s="43">
        <f t="shared" si="51"/>
        <v>0</v>
      </c>
      <c r="W217" s="43">
        <f t="shared" si="52"/>
        <v>0</v>
      </c>
      <c r="X217" s="43">
        <f t="shared" si="53"/>
        <v>0</v>
      </c>
      <c r="Y217" s="34" t="s">
        <v>198</v>
      </c>
      <c r="Z217" s="18">
        <f t="shared" si="54"/>
        <v>0</v>
      </c>
      <c r="AA217" s="18">
        <f t="shared" si="55"/>
        <v>0</v>
      </c>
      <c r="AB217" s="18">
        <f t="shared" si="56"/>
        <v>13300</v>
      </c>
      <c r="AD217" s="43">
        <v>21</v>
      </c>
      <c r="AE217" s="43">
        <f>G217*0.911404694835681</f>
        <v>12121.682441314557</v>
      </c>
      <c r="AF217" s="43">
        <f>G217*(1-0.911404694835681)</f>
        <v>1178.3175586854429</v>
      </c>
      <c r="AG217" s="38" t="s">
        <v>13</v>
      </c>
      <c r="AM217" s="43">
        <f t="shared" si="57"/>
        <v>12121.682441314557</v>
      </c>
      <c r="AN217" s="43">
        <f t="shared" si="58"/>
        <v>1178.3175586854429</v>
      </c>
      <c r="AO217" s="44" t="s">
        <v>664</v>
      </c>
      <c r="AP217" s="44" t="s">
        <v>697</v>
      </c>
      <c r="AQ217" s="34" t="s">
        <v>714</v>
      </c>
      <c r="AS217" s="43">
        <f t="shared" si="59"/>
        <v>13300</v>
      </c>
      <c r="AT217" s="43">
        <f t="shared" si="60"/>
        <v>13300</v>
      </c>
      <c r="AU217" s="43">
        <v>0</v>
      </c>
      <c r="AV217" s="43">
        <f t="shared" si="61"/>
        <v>0</v>
      </c>
    </row>
    <row r="218" spans="1:48" ht="25.5">
      <c r="A218" s="5" t="s">
        <v>110</v>
      </c>
      <c r="B218" s="5" t="s">
        <v>198</v>
      </c>
      <c r="C218" s="5" t="s">
        <v>290</v>
      </c>
      <c r="D218" s="84" t="s">
        <v>511</v>
      </c>
      <c r="E218" s="5" t="s">
        <v>622</v>
      </c>
      <c r="F218" s="76">
        <v>1</v>
      </c>
      <c r="G218" s="25">
        <v>40350</v>
      </c>
      <c r="H218" s="18">
        <f t="shared" si="42"/>
        <v>36775.156089588367</v>
      </c>
      <c r="I218" s="18">
        <f t="shared" si="43"/>
        <v>3574.8439104116333</v>
      </c>
      <c r="J218" s="18">
        <f t="shared" si="44"/>
        <v>40350</v>
      </c>
      <c r="K218" s="18">
        <v>0</v>
      </c>
      <c r="L218" s="18">
        <f t="shared" si="45"/>
        <v>0</v>
      </c>
      <c r="M218" s="38" t="s">
        <v>643</v>
      </c>
      <c r="P218" s="43">
        <f t="shared" si="46"/>
        <v>0</v>
      </c>
      <c r="R218" s="43">
        <f t="shared" si="47"/>
        <v>0</v>
      </c>
      <c r="S218" s="43">
        <f t="shared" si="48"/>
        <v>0</v>
      </c>
      <c r="T218" s="43">
        <f t="shared" si="49"/>
        <v>36775.156089588367</v>
      </c>
      <c r="U218" s="43">
        <f t="shared" si="50"/>
        <v>3574.8439104116333</v>
      </c>
      <c r="V218" s="43">
        <f t="shared" si="51"/>
        <v>0</v>
      </c>
      <c r="W218" s="43">
        <f t="shared" si="52"/>
        <v>0</v>
      </c>
      <c r="X218" s="43">
        <f t="shared" si="53"/>
        <v>0</v>
      </c>
      <c r="Y218" s="34" t="s">
        <v>198</v>
      </c>
      <c r="Z218" s="18">
        <f t="shared" si="54"/>
        <v>0</v>
      </c>
      <c r="AA218" s="18">
        <f t="shared" si="55"/>
        <v>0</v>
      </c>
      <c r="AB218" s="18">
        <f t="shared" si="56"/>
        <v>40350</v>
      </c>
      <c r="AD218" s="43">
        <v>21</v>
      </c>
      <c r="AE218" s="43">
        <f>G218*0.91140411622276</f>
        <v>36775.156089588367</v>
      </c>
      <c r="AF218" s="43">
        <f>G218*(1-0.91140411622276)</f>
        <v>3574.8439104116355</v>
      </c>
      <c r="AG218" s="38" t="s">
        <v>13</v>
      </c>
      <c r="AM218" s="43">
        <f t="shared" si="57"/>
        <v>36775.156089588367</v>
      </c>
      <c r="AN218" s="43">
        <f t="shared" si="58"/>
        <v>3574.8439104116355</v>
      </c>
      <c r="AO218" s="44" t="s">
        <v>664</v>
      </c>
      <c r="AP218" s="44" t="s">
        <v>697</v>
      </c>
      <c r="AQ218" s="34" t="s">
        <v>714</v>
      </c>
      <c r="AS218" s="43">
        <f t="shared" si="59"/>
        <v>40350</v>
      </c>
      <c r="AT218" s="43">
        <f t="shared" si="60"/>
        <v>40350</v>
      </c>
      <c r="AU218" s="43">
        <v>0</v>
      </c>
      <c r="AV218" s="43">
        <f t="shared" si="61"/>
        <v>0</v>
      </c>
    </row>
    <row r="219" spans="1:48" ht="25.5">
      <c r="A219" s="5" t="s">
        <v>111</v>
      </c>
      <c r="B219" s="5" t="s">
        <v>198</v>
      </c>
      <c r="C219" s="5" t="s">
        <v>291</v>
      </c>
      <c r="D219" s="84" t="s">
        <v>512</v>
      </c>
      <c r="E219" s="5" t="s">
        <v>622</v>
      </c>
      <c r="F219" s="76">
        <v>1</v>
      </c>
      <c r="G219" s="25">
        <v>48700</v>
      </c>
      <c r="H219" s="18">
        <f t="shared" si="42"/>
        <v>44385.38207468878</v>
      </c>
      <c r="I219" s="18">
        <f t="shared" si="43"/>
        <v>4314.6179253112205</v>
      </c>
      <c r="J219" s="18">
        <f t="shared" si="44"/>
        <v>48700</v>
      </c>
      <c r="K219" s="18">
        <v>0</v>
      </c>
      <c r="L219" s="18">
        <f t="shared" si="45"/>
        <v>0</v>
      </c>
      <c r="M219" s="38" t="s">
        <v>643</v>
      </c>
      <c r="P219" s="43">
        <f t="shared" si="46"/>
        <v>0</v>
      </c>
      <c r="R219" s="43">
        <f t="shared" si="47"/>
        <v>0</v>
      </c>
      <c r="S219" s="43">
        <f t="shared" si="48"/>
        <v>0</v>
      </c>
      <c r="T219" s="43">
        <f t="shared" si="49"/>
        <v>44385.38207468878</v>
      </c>
      <c r="U219" s="43">
        <f t="shared" si="50"/>
        <v>4314.6179253112205</v>
      </c>
      <c r="V219" s="43">
        <f t="shared" si="51"/>
        <v>0</v>
      </c>
      <c r="W219" s="43">
        <f t="shared" si="52"/>
        <v>0</v>
      </c>
      <c r="X219" s="43">
        <f t="shared" si="53"/>
        <v>0</v>
      </c>
      <c r="Y219" s="34" t="s">
        <v>198</v>
      </c>
      <c r="Z219" s="18">
        <f t="shared" si="54"/>
        <v>0</v>
      </c>
      <c r="AA219" s="18">
        <f t="shared" si="55"/>
        <v>0</v>
      </c>
      <c r="AB219" s="18">
        <f t="shared" si="56"/>
        <v>48700</v>
      </c>
      <c r="AD219" s="43">
        <v>21</v>
      </c>
      <c r="AE219" s="43">
        <f>G219*0.911404149377593</f>
        <v>44385.38207468878</v>
      </c>
      <c r="AF219" s="43">
        <f>G219*(1-0.911404149377593)</f>
        <v>4314.6179253112232</v>
      </c>
      <c r="AG219" s="38" t="s">
        <v>13</v>
      </c>
      <c r="AM219" s="43">
        <f t="shared" si="57"/>
        <v>44385.38207468878</v>
      </c>
      <c r="AN219" s="43">
        <f t="shared" si="58"/>
        <v>4314.6179253112232</v>
      </c>
      <c r="AO219" s="44" t="s">
        <v>664</v>
      </c>
      <c r="AP219" s="44" t="s">
        <v>697</v>
      </c>
      <c r="AQ219" s="34" t="s">
        <v>714</v>
      </c>
      <c r="AS219" s="43">
        <f t="shared" si="59"/>
        <v>48700</v>
      </c>
      <c r="AT219" s="43">
        <f t="shared" si="60"/>
        <v>48700</v>
      </c>
      <c r="AU219" s="43">
        <v>0</v>
      </c>
      <c r="AV219" s="43">
        <f t="shared" si="61"/>
        <v>0</v>
      </c>
    </row>
    <row r="220" spans="1:48" ht="25.5">
      <c r="A220" s="5" t="s">
        <v>112</v>
      </c>
      <c r="B220" s="5" t="s">
        <v>198</v>
      </c>
      <c r="C220" s="5" t="s">
        <v>292</v>
      </c>
      <c r="D220" s="84" t="s">
        <v>513</v>
      </c>
      <c r="E220" s="5" t="s">
        <v>622</v>
      </c>
      <c r="F220" s="76">
        <v>6</v>
      </c>
      <c r="G220" s="25">
        <v>2000</v>
      </c>
      <c r="H220" s="18">
        <f t="shared" si="42"/>
        <v>10936.658823529417</v>
      </c>
      <c r="I220" s="18">
        <f t="shared" si="43"/>
        <v>1063.3411764705834</v>
      </c>
      <c r="J220" s="18">
        <f t="shared" si="44"/>
        <v>12000</v>
      </c>
      <c r="K220" s="18">
        <v>0</v>
      </c>
      <c r="L220" s="18">
        <f t="shared" si="45"/>
        <v>0</v>
      </c>
      <c r="M220" s="38" t="s">
        <v>643</v>
      </c>
      <c r="P220" s="43">
        <f t="shared" si="46"/>
        <v>0</v>
      </c>
      <c r="R220" s="43">
        <f t="shared" si="47"/>
        <v>0</v>
      </c>
      <c r="S220" s="43">
        <f t="shared" si="48"/>
        <v>0</v>
      </c>
      <c r="T220" s="43">
        <f t="shared" si="49"/>
        <v>10936.658823529417</v>
      </c>
      <c r="U220" s="43">
        <f t="shared" si="50"/>
        <v>1063.3411764705834</v>
      </c>
      <c r="V220" s="43">
        <f t="shared" si="51"/>
        <v>0</v>
      </c>
      <c r="W220" s="43">
        <f t="shared" si="52"/>
        <v>0</v>
      </c>
      <c r="X220" s="43">
        <f t="shared" si="53"/>
        <v>0</v>
      </c>
      <c r="Y220" s="34" t="s">
        <v>198</v>
      </c>
      <c r="Z220" s="18">
        <f t="shared" si="54"/>
        <v>0</v>
      </c>
      <c r="AA220" s="18">
        <f t="shared" si="55"/>
        <v>0</v>
      </c>
      <c r="AB220" s="18">
        <f t="shared" si="56"/>
        <v>12000</v>
      </c>
      <c r="AD220" s="43">
        <v>21</v>
      </c>
      <c r="AE220" s="43">
        <f>G220*0.911388235294118</f>
        <v>1822.7764705882362</v>
      </c>
      <c r="AF220" s="43">
        <f>G220*(1-0.911388235294118)</f>
        <v>177.22352941176388</v>
      </c>
      <c r="AG220" s="38" t="s">
        <v>13</v>
      </c>
      <c r="AM220" s="43">
        <f t="shared" si="57"/>
        <v>10936.658823529417</v>
      </c>
      <c r="AN220" s="43">
        <f t="shared" si="58"/>
        <v>1063.3411764705834</v>
      </c>
      <c r="AO220" s="44" t="s">
        <v>664</v>
      </c>
      <c r="AP220" s="44" t="s">
        <v>697</v>
      </c>
      <c r="AQ220" s="34" t="s">
        <v>714</v>
      </c>
      <c r="AS220" s="43">
        <f t="shared" si="59"/>
        <v>12000</v>
      </c>
      <c r="AT220" s="43">
        <f t="shared" si="60"/>
        <v>2000</v>
      </c>
      <c r="AU220" s="43">
        <v>0</v>
      </c>
      <c r="AV220" s="43">
        <f t="shared" si="61"/>
        <v>0</v>
      </c>
    </row>
    <row r="221" spans="1:48" ht="25.5">
      <c r="A221" s="5" t="s">
        <v>113</v>
      </c>
      <c r="B221" s="5" t="s">
        <v>198</v>
      </c>
      <c r="C221" s="5" t="s">
        <v>293</v>
      </c>
      <c r="D221" s="84" t="s">
        <v>514</v>
      </c>
      <c r="E221" s="5" t="s">
        <v>622</v>
      </c>
      <c r="F221" s="76">
        <v>5</v>
      </c>
      <c r="G221" s="25">
        <v>1700</v>
      </c>
      <c r="H221" s="18">
        <f t="shared" si="42"/>
        <v>7746.8442622950824</v>
      </c>
      <c r="I221" s="18">
        <f t="shared" si="43"/>
        <v>753.15573770491756</v>
      </c>
      <c r="J221" s="18">
        <f t="shared" si="44"/>
        <v>8500</v>
      </c>
      <c r="K221" s="18">
        <v>0</v>
      </c>
      <c r="L221" s="18">
        <f t="shared" si="45"/>
        <v>0</v>
      </c>
      <c r="M221" s="38" t="s">
        <v>643</v>
      </c>
      <c r="P221" s="43">
        <f t="shared" si="46"/>
        <v>0</v>
      </c>
      <c r="R221" s="43">
        <f t="shared" si="47"/>
        <v>0</v>
      </c>
      <c r="S221" s="43">
        <f t="shared" si="48"/>
        <v>0</v>
      </c>
      <c r="T221" s="43">
        <f t="shared" si="49"/>
        <v>7746.8442622950824</v>
      </c>
      <c r="U221" s="43">
        <f t="shared" si="50"/>
        <v>753.15573770491756</v>
      </c>
      <c r="V221" s="43">
        <f t="shared" si="51"/>
        <v>0</v>
      </c>
      <c r="W221" s="43">
        <f t="shared" si="52"/>
        <v>0</v>
      </c>
      <c r="X221" s="43">
        <f t="shared" si="53"/>
        <v>0</v>
      </c>
      <c r="Y221" s="34" t="s">
        <v>198</v>
      </c>
      <c r="Z221" s="18">
        <f t="shared" si="54"/>
        <v>0</v>
      </c>
      <c r="AA221" s="18">
        <f t="shared" si="55"/>
        <v>0</v>
      </c>
      <c r="AB221" s="18">
        <f t="shared" si="56"/>
        <v>8500</v>
      </c>
      <c r="AD221" s="43">
        <v>21</v>
      </c>
      <c r="AE221" s="43">
        <f>G221*0.911393442622951</f>
        <v>1549.3688524590166</v>
      </c>
      <c r="AF221" s="43">
        <f>G221*(1-0.911393442622951)</f>
        <v>150.63114754098336</v>
      </c>
      <c r="AG221" s="38" t="s">
        <v>13</v>
      </c>
      <c r="AM221" s="43">
        <f t="shared" si="57"/>
        <v>7746.8442622950824</v>
      </c>
      <c r="AN221" s="43">
        <f t="shared" si="58"/>
        <v>753.15573770491687</v>
      </c>
      <c r="AO221" s="44" t="s">
        <v>664</v>
      </c>
      <c r="AP221" s="44" t="s">
        <v>697</v>
      </c>
      <c r="AQ221" s="34" t="s">
        <v>714</v>
      </c>
      <c r="AS221" s="43">
        <f t="shared" si="59"/>
        <v>8500</v>
      </c>
      <c r="AT221" s="43">
        <f t="shared" si="60"/>
        <v>1700</v>
      </c>
      <c r="AU221" s="43">
        <v>0</v>
      </c>
      <c r="AV221" s="43">
        <f t="shared" si="61"/>
        <v>0</v>
      </c>
    </row>
    <row r="222" spans="1:48" ht="25.5">
      <c r="A222" s="5" t="s">
        <v>114</v>
      </c>
      <c r="B222" s="5" t="s">
        <v>198</v>
      </c>
      <c r="C222" s="5" t="s">
        <v>294</v>
      </c>
      <c r="D222" s="84" t="s">
        <v>515</v>
      </c>
      <c r="E222" s="5" t="s">
        <v>622</v>
      </c>
      <c r="F222" s="76">
        <v>2</v>
      </c>
      <c r="G222" s="25">
        <v>1700</v>
      </c>
      <c r="H222" s="18">
        <f t="shared" si="42"/>
        <v>3098.7377049180332</v>
      </c>
      <c r="I222" s="18">
        <f t="shared" si="43"/>
        <v>301.26229508196684</v>
      </c>
      <c r="J222" s="18">
        <f t="shared" si="44"/>
        <v>3400</v>
      </c>
      <c r="K222" s="18">
        <v>0</v>
      </c>
      <c r="L222" s="18">
        <f t="shared" si="45"/>
        <v>0</v>
      </c>
      <c r="M222" s="38" t="s">
        <v>643</v>
      </c>
      <c r="P222" s="43">
        <f t="shared" si="46"/>
        <v>0</v>
      </c>
      <c r="R222" s="43">
        <f t="shared" si="47"/>
        <v>0</v>
      </c>
      <c r="S222" s="43">
        <f t="shared" si="48"/>
        <v>0</v>
      </c>
      <c r="T222" s="43">
        <f t="shared" si="49"/>
        <v>3098.7377049180332</v>
      </c>
      <c r="U222" s="43">
        <f t="shared" si="50"/>
        <v>301.26229508196684</v>
      </c>
      <c r="V222" s="43">
        <f t="shared" si="51"/>
        <v>0</v>
      </c>
      <c r="W222" s="43">
        <f t="shared" si="52"/>
        <v>0</v>
      </c>
      <c r="X222" s="43">
        <f t="shared" si="53"/>
        <v>0</v>
      </c>
      <c r="Y222" s="34" t="s">
        <v>198</v>
      </c>
      <c r="Z222" s="18">
        <f t="shared" si="54"/>
        <v>0</v>
      </c>
      <c r="AA222" s="18">
        <f t="shared" si="55"/>
        <v>0</v>
      </c>
      <c r="AB222" s="18">
        <f t="shared" si="56"/>
        <v>3400</v>
      </c>
      <c r="AD222" s="43">
        <v>21</v>
      </c>
      <c r="AE222" s="43">
        <f>G222*0.911393442622951</f>
        <v>1549.3688524590166</v>
      </c>
      <c r="AF222" s="43">
        <f>G222*(1-0.911393442622951)</f>
        <v>150.63114754098336</v>
      </c>
      <c r="AG222" s="38" t="s">
        <v>13</v>
      </c>
      <c r="AM222" s="43">
        <f t="shared" si="57"/>
        <v>3098.7377049180332</v>
      </c>
      <c r="AN222" s="43">
        <f t="shared" si="58"/>
        <v>301.26229508196673</v>
      </c>
      <c r="AO222" s="44" t="s">
        <v>664</v>
      </c>
      <c r="AP222" s="44" t="s">
        <v>697</v>
      </c>
      <c r="AQ222" s="34" t="s">
        <v>714</v>
      </c>
      <c r="AS222" s="43">
        <f t="shared" si="59"/>
        <v>3400</v>
      </c>
      <c r="AT222" s="43">
        <f t="shared" si="60"/>
        <v>1700</v>
      </c>
      <c r="AU222" s="43">
        <v>0</v>
      </c>
      <c r="AV222" s="43">
        <f t="shared" si="61"/>
        <v>0</v>
      </c>
    </row>
    <row r="223" spans="1:48" ht="25.5">
      <c r="A223" s="5" t="s">
        <v>115</v>
      </c>
      <c r="B223" s="5" t="s">
        <v>198</v>
      </c>
      <c r="C223" s="5" t="s">
        <v>295</v>
      </c>
      <c r="D223" s="84" t="s">
        <v>516</v>
      </c>
      <c r="E223" s="5" t="s">
        <v>622</v>
      </c>
      <c r="F223" s="76">
        <v>4</v>
      </c>
      <c r="G223" s="25">
        <v>2000</v>
      </c>
      <c r="H223" s="18">
        <f t="shared" si="42"/>
        <v>7291.1058823529447</v>
      </c>
      <c r="I223" s="18">
        <f t="shared" si="43"/>
        <v>708.89411764705528</v>
      </c>
      <c r="J223" s="18">
        <f t="shared" si="44"/>
        <v>8000</v>
      </c>
      <c r="K223" s="18">
        <v>0</v>
      </c>
      <c r="L223" s="18">
        <f t="shared" si="45"/>
        <v>0</v>
      </c>
      <c r="M223" s="38" t="s">
        <v>643</v>
      </c>
      <c r="P223" s="43">
        <f t="shared" si="46"/>
        <v>0</v>
      </c>
      <c r="R223" s="43">
        <f t="shared" si="47"/>
        <v>0</v>
      </c>
      <c r="S223" s="43">
        <f t="shared" si="48"/>
        <v>0</v>
      </c>
      <c r="T223" s="43">
        <f t="shared" si="49"/>
        <v>7291.1058823529447</v>
      </c>
      <c r="U223" s="43">
        <f t="shared" si="50"/>
        <v>708.89411764705528</v>
      </c>
      <c r="V223" s="43">
        <f t="shared" si="51"/>
        <v>0</v>
      </c>
      <c r="W223" s="43">
        <f t="shared" si="52"/>
        <v>0</v>
      </c>
      <c r="X223" s="43">
        <f t="shared" si="53"/>
        <v>0</v>
      </c>
      <c r="Y223" s="34" t="s">
        <v>198</v>
      </c>
      <c r="Z223" s="18">
        <f t="shared" si="54"/>
        <v>0</v>
      </c>
      <c r="AA223" s="18">
        <f t="shared" si="55"/>
        <v>0</v>
      </c>
      <c r="AB223" s="18">
        <f t="shared" si="56"/>
        <v>8000</v>
      </c>
      <c r="AD223" s="43">
        <v>21</v>
      </c>
      <c r="AE223" s="43">
        <f>G223*0.911388235294118</f>
        <v>1822.7764705882362</v>
      </c>
      <c r="AF223" s="43">
        <f>G223*(1-0.911388235294118)</f>
        <v>177.22352941176388</v>
      </c>
      <c r="AG223" s="38" t="s">
        <v>13</v>
      </c>
      <c r="AM223" s="43">
        <f t="shared" si="57"/>
        <v>7291.1058823529447</v>
      </c>
      <c r="AN223" s="43">
        <f t="shared" si="58"/>
        <v>708.89411764705551</v>
      </c>
      <c r="AO223" s="44" t="s">
        <v>664</v>
      </c>
      <c r="AP223" s="44" t="s">
        <v>697</v>
      </c>
      <c r="AQ223" s="34" t="s">
        <v>714</v>
      </c>
      <c r="AS223" s="43">
        <f t="shared" si="59"/>
        <v>8000</v>
      </c>
      <c r="AT223" s="43">
        <f t="shared" si="60"/>
        <v>2000</v>
      </c>
      <c r="AU223" s="43">
        <v>0</v>
      </c>
      <c r="AV223" s="43">
        <f t="shared" si="61"/>
        <v>0</v>
      </c>
    </row>
    <row r="224" spans="1:48" ht="25.5">
      <c r="A224" s="5" t="s">
        <v>116</v>
      </c>
      <c r="B224" s="5" t="s">
        <v>198</v>
      </c>
      <c r="C224" s="5" t="s">
        <v>296</v>
      </c>
      <c r="D224" s="84" t="s">
        <v>517</v>
      </c>
      <c r="E224" s="5" t="s">
        <v>622</v>
      </c>
      <c r="F224" s="76">
        <v>2</v>
      </c>
      <c r="G224" s="25">
        <v>3900</v>
      </c>
      <c r="H224" s="18">
        <f t="shared" si="42"/>
        <v>7108.8837209302301</v>
      </c>
      <c r="I224" s="18">
        <f t="shared" si="43"/>
        <v>691.11627906976992</v>
      </c>
      <c r="J224" s="18">
        <f t="shared" si="44"/>
        <v>7800</v>
      </c>
      <c r="K224" s="18">
        <v>0</v>
      </c>
      <c r="L224" s="18">
        <f t="shared" si="45"/>
        <v>0</v>
      </c>
      <c r="M224" s="38" t="s">
        <v>643</v>
      </c>
      <c r="P224" s="43">
        <f t="shared" si="46"/>
        <v>0</v>
      </c>
      <c r="R224" s="43">
        <f t="shared" si="47"/>
        <v>0</v>
      </c>
      <c r="S224" s="43">
        <f t="shared" si="48"/>
        <v>0</v>
      </c>
      <c r="T224" s="43">
        <f t="shared" si="49"/>
        <v>7108.8837209302301</v>
      </c>
      <c r="U224" s="43">
        <f t="shared" si="50"/>
        <v>691.11627906976992</v>
      </c>
      <c r="V224" s="43">
        <f t="shared" si="51"/>
        <v>0</v>
      </c>
      <c r="W224" s="43">
        <f t="shared" si="52"/>
        <v>0</v>
      </c>
      <c r="X224" s="43">
        <f t="shared" si="53"/>
        <v>0</v>
      </c>
      <c r="Y224" s="34" t="s">
        <v>198</v>
      </c>
      <c r="Z224" s="18">
        <f t="shared" si="54"/>
        <v>0</v>
      </c>
      <c r="AA224" s="18">
        <f t="shared" si="55"/>
        <v>0</v>
      </c>
      <c r="AB224" s="18">
        <f t="shared" si="56"/>
        <v>7800</v>
      </c>
      <c r="AD224" s="43">
        <v>21</v>
      </c>
      <c r="AE224" s="43">
        <f>G224*0.911395348837209</f>
        <v>3554.441860465115</v>
      </c>
      <c r="AF224" s="43">
        <f>G224*(1-0.911395348837209)</f>
        <v>345.55813953488507</v>
      </c>
      <c r="AG224" s="38" t="s">
        <v>13</v>
      </c>
      <c r="AM224" s="43">
        <f t="shared" si="57"/>
        <v>7108.8837209302301</v>
      </c>
      <c r="AN224" s="43">
        <f t="shared" si="58"/>
        <v>691.11627906977014</v>
      </c>
      <c r="AO224" s="44" t="s">
        <v>664</v>
      </c>
      <c r="AP224" s="44" t="s">
        <v>697</v>
      </c>
      <c r="AQ224" s="34" t="s">
        <v>714</v>
      </c>
      <c r="AS224" s="43">
        <f t="shared" si="59"/>
        <v>7800</v>
      </c>
      <c r="AT224" s="43">
        <f t="shared" si="60"/>
        <v>3900</v>
      </c>
      <c r="AU224" s="43">
        <v>0</v>
      </c>
      <c r="AV224" s="43">
        <f t="shared" si="61"/>
        <v>0</v>
      </c>
    </row>
    <row r="225" spans="1:48" ht="25.5">
      <c r="A225" s="5" t="s">
        <v>117</v>
      </c>
      <c r="B225" s="5" t="s">
        <v>198</v>
      </c>
      <c r="C225" s="5" t="s">
        <v>297</v>
      </c>
      <c r="D225" s="84" t="s">
        <v>518</v>
      </c>
      <c r="E225" s="5" t="s">
        <v>622</v>
      </c>
      <c r="F225" s="76">
        <v>2</v>
      </c>
      <c r="G225" s="25">
        <v>5000</v>
      </c>
      <c r="H225" s="18">
        <f t="shared" si="42"/>
        <v>9113.9518072289211</v>
      </c>
      <c r="I225" s="18">
        <f t="shared" si="43"/>
        <v>886.0481927710789</v>
      </c>
      <c r="J225" s="18">
        <f t="shared" si="44"/>
        <v>10000</v>
      </c>
      <c r="K225" s="18">
        <v>0</v>
      </c>
      <c r="L225" s="18">
        <f t="shared" si="45"/>
        <v>0</v>
      </c>
      <c r="M225" s="38" t="s">
        <v>643</v>
      </c>
      <c r="P225" s="43">
        <f t="shared" si="46"/>
        <v>0</v>
      </c>
      <c r="R225" s="43">
        <f t="shared" si="47"/>
        <v>0</v>
      </c>
      <c r="S225" s="43">
        <f t="shared" si="48"/>
        <v>0</v>
      </c>
      <c r="T225" s="43">
        <f t="shared" si="49"/>
        <v>9113.9518072289211</v>
      </c>
      <c r="U225" s="43">
        <f t="shared" si="50"/>
        <v>886.0481927710789</v>
      </c>
      <c r="V225" s="43">
        <f t="shared" si="51"/>
        <v>0</v>
      </c>
      <c r="W225" s="43">
        <f t="shared" si="52"/>
        <v>0</v>
      </c>
      <c r="X225" s="43">
        <f t="shared" si="53"/>
        <v>0</v>
      </c>
      <c r="Y225" s="34" t="s">
        <v>198</v>
      </c>
      <c r="Z225" s="18">
        <f t="shared" si="54"/>
        <v>0</v>
      </c>
      <c r="AA225" s="18">
        <f t="shared" si="55"/>
        <v>0</v>
      </c>
      <c r="AB225" s="18">
        <f t="shared" si="56"/>
        <v>10000</v>
      </c>
      <c r="AD225" s="43">
        <v>21</v>
      </c>
      <c r="AE225" s="43">
        <f>G225*0.911395180722892</f>
        <v>4556.9759036144605</v>
      </c>
      <c r="AF225" s="43">
        <f>G225*(1-0.911395180722892)</f>
        <v>443.02409638553974</v>
      </c>
      <c r="AG225" s="38" t="s">
        <v>13</v>
      </c>
      <c r="AM225" s="43">
        <f t="shared" si="57"/>
        <v>9113.9518072289211</v>
      </c>
      <c r="AN225" s="43">
        <f t="shared" si="58"/>
        <v>886.04819277107947</v>
      </c>
      <c r="AO225" s="44" t="s">
        <v>664</v>
      </c>
      <c r="AP225" s="44" t="s">
        <v>697</v>
      </c>
      <c r="AQ225" s="34" t="s">
        <v>714</v>
      </c>
      <c r="AS225" s="43">
        <f t="shared" si="59"/>
        <v>10000</v>
      </c>
      <c r="AT225" s="43">
        <f t="shared" si="60"/>
        <v>5000</v>
      </c>
      <c r="AU225" s="43">
        <v>0</v>
      </c>
      <c r="AV225" s="43">
        <f t="shared" si="61"/>
        <v>0</v>
      </c>
    </row>
    <row r="226" spans="1:48" ht="25.5">
      <c r="A226" s="5" t="s">
        <v>118</v>
      </c>
      <c r="B226" s="5" t="s">
        <v>198</v>
      </c>
      <c r="C226" s="5" t="s">
        <v>298</v>
      </c>
      <c r="D226" s="84" t="s">
        <v>519</v>
      </c>
      <c r="E226" s="5" t="s">
        <v>622</v>
      </c>
      <c r="F226" s="76">
        <v>4</v>
      </c>
      <c r="G226" s="25">
        <v>5930</v>
      </c>
      <c r="H226" s="18">
        <f t="shared" si="42"/>
        <v>21618.240564705891</v>
      </c>
      <c r="I226" s="18">
        <f t="shared" si="43"/>
        <v>2101.7594352941087</v>
      </c>
      <c r="J226" s="18">
        <f t="shared" si="44"/>
        <v>23720</v>
      </c>
      <c r="K226" s="18">
        <v>0</v>
      </c>
      <c r="L226" s="18">
        <f t="shared" si="45"/>
        <v>0</v>
      </c>
      <c r="M226" s="38" t="s">
        <v>643</v>
      </c>
      <c r="P226" s="43">
        <f t="shared" si="46"/>
        <v>0</v>
      </c>
      <c r="R226" s="43">
        <f t="shared" si="47"/>
        <v>0</v>
      </c>
      <c r="S226" s="43">
        <f t="shared" si="48"/>
        <v>0</v>
      </c>
      <c r="T226" s="43">
        <f t="shared" si="49"/>
        <v>21618.240564705891</v>
      </c>
      <c r="U226" s="43">
        <f t="shared" si="50"/>
        <v>2101.7594352941087</v>
      </c>
      <c r="V226" s="43">
        <f t="shared" si="51"/>
        <v>0</v>
      </c>
      <c r="W226" s="43">
        <f t="shared" si="52"/>
        <v>0</v>
      </c>
      <c r="X226" s="43">
        <f t="shared" si="53"/>
        <v>0</v>
      </c>
      <c r="Y226" s="34" t="s">
        <v>198</v>
      </c>
      <c r="Z226" s="18">
        <f t="shared" si="54"/>
        <v>0</v>
      </c>
      <c r="AA226" s="18">
        <f t="shared" si="55"/>
        <v>0</v>
      </c>
      <c r="AB226" s="18">
        <f t="shared" si="56"/>
        <v>23720</v>
      </c>
      <c r="AD226" s="43">
        <v>21</v>
      </c>
      <c r="AE226" s="43">
        <f>G226*0.911392941176471</f>
        <v>5404.5601411764728</v>
      </c>
      <c r="AF226" s="43">
        <f>G226*(1-0.911392941176471)</f>
        <v>525.43985882352717</v>
      </c>
      <c r="AG226" s="38" t="s">
        <v>13</v>
      </c>
      <c r="AM226" s="43">
        <f t="shared" si="57"/>
        <v>21618.240564705891</v>
      </c>
      <c r="AN226" s="43">
        <f t="shared" si="58"/>
        <v>2101.7594352941087</v>
      </c>
      <c r="AO226" s="44" t="s">
        <v>664</v>
      </c>
      <c r="AP226" s="44" t="s">
        <v>697</v>
      </c>
      <c r="AQ226" s="34" t="s">
        <v>714</v>
      </c>
      <c r="AS226" s="43">
        <f t="shared" si="59"/>
        <v>23720</v>
      </c>
      <c r="AT226" s="43">
        <f t="shared" si="60"/>
        <v>5930</v>
      </c>
      <c r="AU226" s="43">
        <v>0</v>
      </c>
      <c r="AV226" s="43">
        <f t="shared" si="61"/>
        <v>0</v>
      </c>
    </row>
    <row r="227" spans="1:48" ht="25.5">
      <c r="A227" s="5" t="s">
        <v>119</v>
      </c>
      <c r="B227" s="5" t="s">
        <v>198</v>
      </c>
      <c r="C227" s="5" t="s">
        <v>299</v>
      </c>
      <c r="D227" s="84" t="s">
        <v>520</v>
      </c>
      <c r="E227" s="5" t="s">
        <v>622</v>
      </c>
      <c r="F227" s="76">
        <v>2</v>
      </c>
      <c r="G227" s="25">
        <v>7120</v>
      </c>
      <c r="H227" s="18">
        <f t="shared" si="42"/>
        <v>12978.244864</v>
      </c>
      <c r="I227" s="18">
        <f t="shared" si="43"/>
        <v>1261.7551359999998</v>
      </c>
      <c r="J227" s="18">
        <f t="shared" si="44"/>
        <v>14240</v>
      </c>
      <c r="K227" s="18">
        <v>0</v>
      </c>
      <c r="L227" s="18">
        <f t="shared" si="45"/>
        <v>0</v>
      </c>
      <c r="M227" s="38" t="s">
        <v>643</v>
      </c>
      <c r="P227" s="43">
        <f t="shared" si="46"/>
        <v>0</v>
      </c>
      <c r="R227" s="43">
        <f t="shared" si="47"/>
        <v>0</v>
      </c>
      <c r="S227" s="43">
        <f t="shared" si="48"/>
        <v>0</v>
      </c>
      <c r="T227" s="43">
        <f t="shared" si="49"/>
        <v>12978.244864</v>
      </c>
      <c r="U227" s="43">
        <f t="shared" si="50"/>
        <v>1261.7551359999998</v>
      </c>
      <c r="V227" s="43">
        <f t="shared" si="51"/>
        <v>0</v>
      </c>
      <c r="W227" s="43">
        <f t="shared" si="52"/>
        <v>0</v>
      </c>
      <c r="X227" s="43">
        <f t="shared" si="53"/>
        <v>0</v>
      </c>
      <c r="Y227" s="34" t="s">
        <v>198</v>
      </c>
      <c r="Z227" s="18">
        <f t="shared" si="54"/>
        <v>0</v>
      </c>
      <c r="AA227" s="18">
        <f t="shared" si="55"/>
        <v>0</v>
      </c>
      <c r="AB227" s="18">
        <f t="shared" si="56"/>
        <v>14240</v>
      </c>
      <c r="AD227" s="43">
        <v>21</v>
      </c>
      <c r="AE227" s="43">
        <f>G227*0.9113936</f>
        <v>6489.1224320000001</v>
      </c>
      <c r="AF227" s="43">
        <f>G227*(1-0.9113936)</f>
        <v>630.87756799999977</v>
      </c>
      <c r="AG227" s="38" t="s">
        <v>13</v>
      </c>
      <c r="AM227" s="43">
        <f t="shared" si="57"/>
        <v>12978.244864</v>
      </c>
      <c r="AN227" s="43">
        <f t="shared" si="58"/>
        <v>1261.7551359999995</v>
      </c>
      <c r="AO227" s="44" t="s">
        <v>664</v>
      </c>
      <c r="AP227" s="44" t="s">
        <v>697</v>
      </c>
      <c r="AQ227" s="34" t="s">
        <v>714</v>
      </c>
      <c r="AS227" s="43">
        <f t="shared" si="59"/>
        <v>14240</v>
      </c>
      <c r="AT227" s="43">
        <f t="shared" si="60"/>
        <v>7120</v>
      </c>
      <c r="AU227" s="43">
        <v>0</v>
      </c>
      <c r="AV227" s="43">
        <f t="shared" si="61"/>
        <v>0</v>
      </c>
    </row>
    <row r="228" spans="1:48" ht="25.5">
      <c r="A228" s="5" t="s">
        <v>120</v>
      </c>
      <c r="B228" s="5" t="s">
        <v>198</v>
      </c>
      <c r="C228" s="5" t="s">
        <v>300</v>
      </c>
      <c r="D228" s="84" t="s">
        <v>521</v>
      </c>
      <c r="E228" s="5" t="s">
        <v>622</v>
      </c>
      <c r="F228" s="76">
        <v>2</v>
      </c>
      <c r="G228" s="25">
        <v>9150</v>
      </c>
      <c r="H228" s="18">
        <f t="shared" si="42"/>
        <v>16678.488345323749</v>
      </c>
      <c r="I228" s="18">
        <f t="shared" si="43"/>
        <v>1621.5116546762511</v>
      </c>
      <c r="J228" s="18">
        <f t="shared" si="44"/>
        <v>18300</v>
      </c>
      <c r="K228" s="18">
        <v>0</v>
      </c>
      <c r="L228" s="18">
        <f t="shared" si="45"/>
        <v>0</v>
      </c>
      <c r="M228" s="38" t="s">
        <v>643</v>
      </c>
      <c r="P228" s="43">
        <f t="shared" si="46"/>
        <v>0</v>
      </c>
      <c r="R228" s="43">
        <f t="shared" si="47"/>
        <v>0</v>
      </c>
      <c r="S228" s="43">
        <f t="shared" si="48"/>
        <v>0</v>
      </c>
      <c r="T228" s="43">
        <f t="shared" si="49"/>
        <v>16678.488345323749</v>
      </c>
      <c r="U228" s="43">
        <f t="shared" si="50"/>
        <v>1621.5116546762511</v>
      </c>
      <c r="V228" s="43">
        <f t="shared" si="51"/>
        <v>0</v>
      </c>
      <c r="W228" s="43">
        <f t="shared" si="52"/>
        <v>0</v>
      </c>
      <c r="X228" s="43">
        <f t="shared" si="53"/>
        <v>0</v>
      </c>
      <c r="Y228" s="34" t="s">
        <v>198</v>
      </c>
      <c r="Z228" s="18">
        <f t="shared" si="54"/>
        <v>0</v>
      </c>
      <c r="AA228" s="18">
        <f t="shared" si="55"/>
        <v>0</v>
      </c>
      <c r="AB228" s="18">
        <f t="shared" si="56"/>
        <v>18300</v>
      </c>
      <c r="AD228" s="43">
        <v>21</v>
      </c>
      <c r="AE228" s="43">
        <f>G228*0.911392805755396</f>
        <v>8339.2441726618745</v>
      </c>
      <c r="AF228" s="43">
        <f>G228*(1-0.911392805755396)</f>
        <v>810.7558273381261</v>
      </c>
      <c r="AG228" s="38" t="s">
        <v>13</v>
      </c>
      <c r="AM228" s="43">
        <f t="shared" si="57"/>
        <v>16678.488345323749</v>
      </c>
      <c r="AN228" s="43">
        <f t="shared" si="58"/>
        <v>1621.5116546762522</v>
      </c>
      <c r="AO228" s="44" t="s">
        <v>664</v>
      </c>
      <c r="AP228" s="44" t="s">
        <v>697</v>
      </c>
      <c r="AQ228" s="34" t="s">
        <v>714</v>
      </c>
      <c r="AS228" s="43">
        <f t="shared" si="59"/>
        <v>18300</v>
      </c>
      <c r="AT228" s="43">
        <f t="shared" si="60"/>
        <v>9150</v>
      </c>
      <c r="AU228" s="43">
        <v>0</v>
      </c>
      <c r="AV228" s="43">
        <f t="shared" si="61"/>
        <v>0</v>
      </c>
    </row>
    <row r="229" spans="1:48" ht="25.5">
      <c r="A229" s="5" t="s">
        <v>121</v>
      </c>
      <c r="B229" s="5" t="s">
        <v>198</v>
      </c>
      <c r="C229" s="5" t="s">
        <v>301</v>
      </c>
      <c r="D229" s="84" t="s">
        <v>522</v>
      </c>
      <c r="E229" s="5" t="s">
        <v>622</v>
      </c>
      <c r="F229" s="76">
        <v>1</v>
      </c>
      <c r="G229" s="25">
        <v>9150</v>
      </c>
      <c r="H229" s="18">
        <f t="shared" si="42"/>
        <v>8339.2705035971176</v>
      </c>
      <c r="I229" s="18">
        <f t="shared" si="43"/>
        <v>810.72949640288243</v>
      </c>
      <c r="J229" s="18">
        <f t="shared" si="44"/>
        <v>9150</v>
      </c>
      <c r="K229" s="18">
        <v>0</v>
      </c>
      <c r="L229" s="18">
        <f t="shared" si="45"/>
        <v>0</v>
      </c>
      <c r="M229" s="38" t="s">
        <v>643</v>
      </c>
      <c r="P229" s="43">
        <f t="shared" si="46"/>
        <v>0</v>
      </c>
      <c r="R229" s="43">
        <f t="shared" si="47"/>
        <v>0</v>
      </c>
      <c r="S229" s="43">
        <f t="shared" si="48"/>
        <v>0</v>
      </c>
      <c r="T229" s="43">
        <f t="shared" si="49"/>
        <v>8339.2705035971176</v>
      </c>
      <c r="U229" s="43">
        <f t="shared" si="50"/>
        <v>810.72949640288243</v>
      </c>
      <c r="V229" s="43">
        <f t="shared" si="51"/>
        <v>0</v>
      </c>
      <c r="W229" s="43">
        <f t="shared" si="52"/>
        <v>0</v>
      </c>
      <c r="X229" s="43">
        <f t="shared" si="53"/>
        <v>0</v>
      </c>
      <c r="Y229" s="34" t="s">
        <v>198</v>
      </c>
      <c r="Z229" s="18">
        <f t="shared" si="54"/>
        <v>0</v>
      </c>
      <c r="AA229" s="18">
        <f t="shared" si="55"/>
        <v>0</v>
      </c>
      <c r="AB229" s="18">
        <f t="shared" si="56"/>
        <v>9150</v>
      </c>
      <c r="AD229" s="43">
        <v>21</v>
      </c>
      <c r="AE229" s="43">
        <f>G229*0.911395683453237</f>
        <v>8339.2705035971176</v>
      </c>
      <c r="AF229" s="43">
        <f>G229*(1-0.911395683453237)</f>
        <v>810.72949640288186</v>
      </c>
      <c r="AG229" s="38" t="s">
        <v>13</v>
      </c>
      <c r="AM229" s="43">
        <f t="shared" si="57"/>
        <v>8339.2705035971176</v>
      </c>
      <c r="AN229" s="43">
        <f t="shared" si="58"/>
        <v>810.72949640288186</v>
      </c>
      <c r="AO229" s="44" t="s">
        <v>664</v>
      </c>
      <c r="AP229" s="44" t="s">
        <v>697</v>
      </c>
      <c r="AQ229" s="34" t="s">
        <v>714</v>
      </c>
      <c r="AS229" s="43">
        <f t="shared" si="59"/>
        <v>9150</v>
      </c>
      <c r="AT229" s="43">
        <f t="shared" si="60"/>
        <v>9150</v>
      </c>
      <c r="AU229" s="43">
        <v>0</v>
      </c>
      <c r="AV229" s="43">
        <f t="shared" si="61"/>
        <v>0</v>
      </c>
    </row>
    <row r="230" spans="1:48" ht="25.5">
      <c r="A230" s="5" t="s">
        <v>122</v>
      </c>
      <c r="B230" s="5" t="s">
        <v>198</v>
      </c>
      <c r="C230" s="5" t="s">
        <v>302</v>
      </c>
      <c r="D230" s="84" t="s">
        <v>523</v>
      </c>
      <c r="E230" s="5" t="s">
        <v>622</v>
      </c>
      <c r="F230" s="76">
        <v>1</v>
      </c>
      <c r="G230" s="25">
        <v>7120</v>
      </c>
      <c r="H230" s="18">
        <f t="shared" si="42"/>
        <v>6489.1224320000001</v>
      </c>
      <c r="I230" s="18">
        <f t="shared" si="43"/>
        <v>630.87756799999988</v>
      </c>
      <c r="J230" s="18">
        <f t="shared" si="44"/>
        <v>7120</v>
      </c>
      <c r="K230" s="18">
        <v>0</v>
      </c>
      <c r="L230" s="18">
        <f t="shared" si="45"/>
        <v>0</v>
      </c>
      <c r="M230" s="38" t="s">
        <v>643</v>
      </c>
      <c r="P230" s="43">
        <f t="shared" si="46"/>
        <v>0</v>
      </c>
      <c r="R230" s="43">
        <f t="shared" si="47"/>
        <v>0</v>
      </c>
      <c r="S230" s="43">
        <f t="shared" si="48"/>
        <v>0</v>
      </c>
      <c r="T230" s="43">
        <f t="shared" si="49"/>
        <v>6489.1224320000001</v>
      </c>
      <c r="U230" s="43">
        <f t="shared" si="50"/>
        <v>630.87756799999988</v>
      </c>
      <c r="V230" s="43">
        <f t="shared" si="51"/>
        <v>0</v>
      </c>
      <c r="W230" s="43">
        <f t="shared" si="52"/>
        <v>0</v>
      </c>
      <c r="X230" s="43">
        <f t="shared" si="53"/>
        <v>0</v>
      </c>
      <c r="Y230" s="34" t="s">
        <v>198</v>
      </c>
      <c r="Z230" s="18">
        <f t="shared" si="54"/>
        <v>0</v>
      </c>
      <c r="AA230" s="18">
        <f t="shared" si="55"/>
        <v>0</v>
      </c>
      <c r="AB230" s="18">
        <f t="shared" si="56"/>
        <v>7120</v>
      </c>
      <c r="AD230" s="43">
        <v>21</v>
      </c>
      <c r="AE230" s="43">
        <f>G230*0.9113936</f>
        <v>6489.1224320000001</v>
      </c>
      <c r="AF230" s="43">
        <f>G230*(1-0.9113936)</f>
        <v>630.87756799999977</v>
      </c>
      <c r="AG230" s="38" t="s">
        <v>13</v>
      </c>
      <c r="AM230" s="43">
        <f t="shared" si="57"/>
        <v>6489.1224320000001</v>
      </c>
      <c r="AN230" s="43">
        <f t="shared" si="58"/>
        <v>630.87756799999977</v>
      </c>
      <c r="AO230" s="44" t="s">
        <v>664</v>
      </c>
      <c r="AP230" s="44" t="s">
        <v>697</v>
      </c>
      <c r="AQ230" s="34" t="s">
        <v>714</v>
      </c>
      <c r="AS230" s="43">
        <f t="shared" si="59"/>
        <v>7120</v>
      </c>
      <c r="AT230" s="43">
        <f t="shared" si="60"/>
        <v>7120</v>
      </c>
      <c r="AU230" s="43">
        <v>0</v>
      </c>
      <c r="AV230" s="43">
        <f t="shared" si="61"/>
        <v>0</v>
      </c>
    </row>
    <row r="231" spans="1:48" ht="25.5">
      <c r="A231" s="5" t="s">
        <v>123</v>
      </c>
      <c r="B231" s="5" t="s">
        <v>198</v>
      </c>
      <c r="C231" s="5" t="s">
        <v>303</v>
      </c>
      <c r="D231" s="84" t="s">
        <v>524</v>
      </c>
      <c r="E231" s="5" t="s">
        <v>622</v>
      </c>
      <c r="F231" s="76">
        <v>2</v>
      </c>
      <c r="G231" s="25">
        <v>10200</v>
      </c>
      <c r="H231" s="18">
        <f t="shared" si="42"/>
        <v>18592.471942446035</v>
      </c>
      <c r="I231" s="18">
        <f t="shared" si="43"/>
        <v>1807.5280575539655</v>
      </c>
      <c r="J231" s="18">
        <f t="shared" si="44"/>
        <v>20400</v>
      </c>
      <c r="K231" s="18">
        <v>0</v>
      </c>
      <c r="L231" s="18">
        <f t="shared" si="45"/>
        <v>0</v>
      </c>
      <c r="M231" s="38" t="s">
        <v>643</v>
      </c>
      <c r="P231" s="43">
        <f t="shared" si="46"/>
        <v>0</v>
      </c>
      <c r="R231" s="43">
        <f t="shared" si="47"/>
        <v>0</v>
      </c>
      <c r="S231" s="43">
        <f t="shared" si="48"/>
        <v>0</v>
      </c>
      <c r="T231" s="43">
        <f t="shared" si="49"/>
        <v>18592.471942446035</v>
      </c>
      <c r="U231" s="43">
        <f t="shared" si="50"/>
        <v>1807.5280575539655</v>
      </c>
      <c r="V231" s="43">
        <f t="shared" si="51"/>
        <v>0</v>
      </c>
      <c r="W231" s="43">
        <f t="shared" si="52"/>
        <v>0</v>
      </c>
      <c r="X231" s="43">
        <f t="shared" si="53"/>
        <v>0</v>
      </c>
      <c r="Y231" s="34" t="s">
        <v>198</v>
      </c>
      <c r="Z231" s="18">
        <f t="shared" si="54"/>
        <v>0</v>
      </c>
      <c r="AA231" s="18">
        <f t="shared" si="55"/>
        <v>0</v>
      </c>
      <c r="AB231" s="18">
        <f t="shared" si="56"/>
        <v>20400</v>
      </c>
      <c r="AD231" s="43">
        <v>21</v>
      </c>
      <c r="AE231" s="43">
        <f>G231*0.911395683453237</f>
        <v>9296.2359712230173</v>
      </c>
      <c r="AF231" s="43">
        <f>G231*(1-0.911395683453237)</f>
        <v>903.76402877698297</v>
      </c>
      <c r="AG231" s="38" t="s">
        <v>13</v>
      </c>
      <c r="AM231" s="43">
        <f t="shared" si="57"/>
        <v>18592.471942446035</v>
      </c>
      <c r="AN231" s="43">
        <f t="shared" si="58"/>
        <v>1807.5280575539659</v>
      </c>
      <c r="AO231" s="44" t="s">
        <v>664</v>
      </c>
      <c r="AP231" s="44" t="s">
        <v>697</v>
      </c>
      <c r="AQ231" s="34" t="s">
        <v>714</v>
      </c>
      <c r="AS231" s="43">
        <f t="shared" si="59"/>
        <v>20400</v>
      </c>
      <c r="AT231" s="43">
        <f t="shared" si="60"/>
        <v>10200</v>
      </c>
      <c r="AU231" s="43">
        <v>0</v>
      </c>
      <c r="AV231" s="43">
        <f t="shared" si="61"/>
        <v>0</v>
      </c>
    </row>
    <row r="232" spans="1:48" ht="25.5">
      <c r="A232" s="5" t="s">
        <v>124</v>
      </c>
      <c r="B232" s="5" t="s">
        <v>198</v>
      </c>
      <c r="C232" s="5" t="s">
        <v>304</v>
      </c>
      <c r="D232" s="84" t="s">
        <v>525</v>
      </c>
      <c r="E232" s="5" t="s">
        <v>622</v>
      </c>
      <c r="F232" s="76">
        <v>2</v>
      </c>
      <c r="G232" s="25">
        <v>9150</v>
      </c>
      <c r="H232" s="18">
        <f t="shared" si="42"/>
        <v>16678.541007194235</v>
      </c>
      <c r="I232" s="18">
        <f t="shared" si="43"/>
        <v>1621.4589928057649</v>
      </c>
      <c r="J232" s="18">
        <f t="shared" si="44"/>
        <v>18300</v>
      </c>
      <c r="K232" s="18">
        <v>0</v>
      </c>
      <c r="L232" s="18">
        <f t="shared" si="45"/>
        <v>0</v>
      </c>
      <c r="M232" s="38" t="s">
        <v>643</v>
      </c>
      <c r="P232" s="43">
        <f t="shared" si="46"/>
        <v>0</v>
      </c>
      <c r="R232" s="43">
        <f t="shared" si="47"/>
        <v>0</v>
      </c>
      <c r="S232" s="43">
        <f t="shared" si="48"/>
        <v>0</v>
      </c>
      <c r="T232" s="43">
        <f t="shared" si="49"/>
        <v>16678.541007194235</v>
      </c>
      <c r="U232" s="43">
        <f t="shared" si="50"/>
        <v>1621.4589928057649</v>
      </c>
      <c r="V232" s="43">
        <f t="shared" si="51"/>
        <v>0</v>
      </c>
      <c r="W232" s="43">
        <f t="shared" si="52"/>
        <v>0</v>
      </c>
      <c r="X232" s="43">
        <f t="shared" si="53"/>
        <v>0</v>
      </c>
      <c r="Y232" s="34" t="s">
        <v>198</v>
      </c>
      <c r="Z232" s="18">
        <f t="shared" si="54"/>
        <v>0</v>
      </c>
      <c r="AA232" s="18">
        <f t="shared" si="55"/>
        <v>0</v>
      </c>
      <c r="AB232" s="18">
        <f t="shared" si="56"/>
        <v>18300</v>
      </c>
      <c r="AD232" s="43">
        <v>21</v>
      </c>
      <c r="AE232" s="43">
        <f>G232*0.911395683453237</f>
        <v>8339.2705035971176</v>
      </c>
      <c r="AF232" s="43">
        <f>G232*(1-0.911395683453237)</f>
        <v>810.72949640288186</v>
      </c>
      <c r="AG232" s="38" t="s">
        <v>13</v>
      </c>
      <c r="AM232" s="43">
        <f t="shared" si="57"/>
        <v>16678.541007194235</v>
      </c>
      <c r="AN232" s="43">
        <f t="shared" si="58"/>
        <v>1621.4589928057637</v>
      </c>
      <c r="AO232" s="44" t="s">
        <v>664</v>
      </c>
      <c r="AP232" s="44" t="s">
        <v>697</v>
      </c>
      <c r="AQ232" s="34" t="s">
        <v>714</v>
      </c>
      <c r="AS232" s="43">
        <f t="shared" si="59"/>
        <v>18300</v>
      </c>
      <c r="AT232" s="43">
        <f t="shared" si="60"/>
        <v>9150</v>
      </c>
      <c r="AU232" s="43">
        <v>0</v>
      </c>
      <c r="AV232" s="43">
        <f t="shared" si="61"/>
        <v>0</v>
      </c>
    </row>
    <row r="233" spans="1:48" ht="25.5">
      <c r="A233" s="5" t="s">
        <v>125</v>
      </c>
      <c r="B233" s="5" t="s">
        <v>198</v>
      </c>
      <c r="C233" s="5" t="s">
        <v>305</v>
      </c>
      <c r="D233" s="84" t="s">
        <v>526</v>
      </c>
      <c r="E233" s="5" t="s">
        <v>622</v>
      </c>
      <c r="F233" s="76">
        <v>2</v>
      </c>
      <c r="G233" s="25">
        <v>9150</v>
      </c>
      <c r="H233" s="18">
        <f t="shared" si="42"/>
        <v>16678.541007194235</v>
      </c>
      <c r="I233" s="18">
        <f t="shared" si="43"/>
        <v>1621.4589928057649</v>
      </c>
      <c r="J233" s="18">
        <f t="shared" si="44"/>
        <v>18300</v>
      </c>
      <c r="K233" s="18">
        <v>0</v>
      </c>
      <c r="L233" s="18">
        <f t="shared" si="45"/>
        <v>0</v>
      </c>
      <c r="M233" s="38" t="s">
        <v>643</v>
      </c>
      <c r="P233" s="43">
        <f t="shared" si="46"/>
        <v>0</v>
      </c>
      <c r="R233" s="43">
        <f t="shared" si="47"/>
        <v>0</v>
      </c>
      <c r="S233" s="43">
        <f t="shared" si="48"/>
        <v>0</v>
      </c>
      <c r="T233" s="43">
        <f t="shared" si="49"/>
        <v>16678.541007194235</v>
      </c>
      <c r="U233" s="43">
        <f t="shared" si="50"/>
        <v>1621.4589928057649</v>
      </c>
      <c r="V233" s="43">
        <f t="shared" si="51"/>
        <v>0</v>
      </c>
      <c r="W233" s="43">
        <f t="shared" si="52"/>
        <v>0</v>
      </c>
      <c r="X233" s="43">
        <f t="shared" si="53"/>
        <v>0</v>
      </c>
      <c r="Y233" s="34" t="s">
        <v>198</v>
      </c>
      <c r="Z233" s="18">
        <f t="shared" si="54"/>
        <v>0</v>
      </c>
      <c r="AA233" s="18">
        <f t="shared" si="55"/>
        <v>0</v>
      </c>
      <c r="AB233" s="18">
        <f t="shared" si="56"/>
        <v>18300</v>
      </c>
      <c r="AD233" s="43">
        <v>21</v>
      </c>
      <c r="AE233" s="43">
        <f>G233*0.911395683453237</f>
        <v>8339.2705035971176</v>
      </c>
      <c r="AF233" s="43">
        <f>G233*(1-0.911395683453237)</f>
        <v>810.72949640288186</v>
      </c>
      <c r="AG233" s="38" t="s">
        <v>13</v>
      </c>
      <c r="AM233" s="43">
        <f t="shared" si="57"/>
        <v>16678.541007194235</v>
      </c>
      <c r="AN233" s="43">
        <f t="shared" si="58"/>
        <v>1621.4589928057637</v>
      </c>
      <c r="AO233" s="44" t="s">
        <v>664</v>
      </c>
      <c r="AP233" s="44" t="s">
        <v>697</v>
      </c>
      <c r="AQ233" s="34" t="s">
        <v>714</v>
      </c>
      <c r="AS233" s="43">
        <f t="shared" si="59"/>
        <v>18300</v>
      </c>
      <c r="AT233" s="43">
        <f t="shared" si="60"/>
        <v>9150</v>
      </c>
      <c r="AU233" s="43">
        <v>0</v>
      </c>
      <c r="AV233" s="43">
        <f t="shared" si="61"/>
        <v>0</v>
      </c>
    </row>
    <row r="234" spans="1:48" ht="25.5">
      <c r="A234" s="5" t="s">
        <v>126</v>
      </c>
      <c r="B234" s="5" t="s">
        <v>198</v>
      </c>
      <c r="C234" s="5" t="s">
        <v>306</v>
      </c>
      <c r="D234" s="84" t="s">
        <v>527</v>
      </c>
      <c r="E234" s="5" t="s">
        <v>622</v>
      </c>
      <c r="F234" s="76">
        <v>2</v>
      </c>
      <c r="G234" s="25">
        <v>5000</v>
      </c>
      <c r="H234" s="18">
        <f t="shared" si="42"/>
        <v>9113.9701492537297</v>
      </c>
      <c r="I234" s="18">
        <f t="shared" si="43"/>
        <v>886.02985074627031</v>
      </c>
      <c r="J234" s="18">
        <f t="shared" si="44"/>
        <v>10000</v>
      </c>
      <c r="K234" s="18">
        <v>0</v>
      </c>
      <c r="L234" s="18">
        <f t="shared" si="45"/>
        <v>0</v>
      </c>
      <c r="M234" s="38" t="s">
        <v>643</v>
      </c>
      <c r="P234" s="43">
        <f t="shared" si="46"/>
        <v>0</v>
      </c>
      <c r="R234" s="43">
        <f t="shared" si="47"/>
        <v>0</v>
      </c>
      <c r="S234" s="43">
        <f t="shared" si="48"/>
        <v>0</v>
      </c>
      <c r="T234" s="43">
        <f t="shared" si="49"/>
        <v>9113.9701492537297</v>
      </c>
      <c r="U234" s="43">
        <f t="shared" si="50"/>
        <v>886.02985074627031</v>
      </c>
      <c r="V234" s="43">
        <f t="shared" si="51"/>
        <v>0</v>
      </c>
      <c r="W234" s="43">
        <f t="shared" si="52"/>
        <v>0</v>
      </c>
      <c r="X234" s="43">
        <f t="shared" si="53"/>
        <v>0</v>
      </c>
      <c r="Y234" s="34" t="s">
        <v>198</v>
      </c>
      <c r="Z234" s="18">
        <f t="shared" si="54"/>
        <v>0</v>
      </c>
      <c r="AA234" s="18">
        <f t="shared" si="55"/>
        <v>0</v>
      </c>
      <c r="AB234" s="18">
        <f t="shared" si="56"/>
        <v>10000</v>
      </c>
      <c r="AD234" s="43">
        <v>21</v>
      </c>
      <c r="AE234" s="43">
        <f>G234*0.911397014925373</f>
        <v>4556.9850746268648</v>
      </c>
      <c r="AF234" s="43">
        <f>G234*(1-0.911397014925373)</f>
        <v>443.01492537313527</v>
      </c>
      <c r="AG234" s="38" t="s">
        <v>13</v>
      </c>
      <c r="AM234" s="43">
        <f t="shared" si="57"/>
        <v>9113.9701492537297</v>
      </c>
      <c r="AN234" s="43">
        <f t="shared" si="58"/>
        <v>886.02985074627054</v>
      </c>
      <c r="AO234" s="44" t="s">
        <v>664</v>
      </c>
      <c r="AP234" s="44" t="s">
        <v>697</v>
      </c>
      <c r="AQ234" s="34" t="s">
        <v>714</v>
      </c>
      <c r="AS234" s="43">
        <f t="shared" si="59"/>
        <v>10000</v>
      </c>
      <c r="AT234" s="43">
        <f t="shared" si="60"/>
        <v>5000</v>
      </c>
      <c r="AU234" s="43">
        <v>0</v>
      </c>
      <c r="AV234" s="43">
        <f t="shared" si="61"/>
        <v>0</v>
      </c>
    </row>
    <row r="235" spans="1:48" ht="25.5">
      <c r="A235" s="5" t="s">
        <v>127</v>
      </c>
      <c r="B235" s="5" t="s">
        <v>198</v>
      </c>
      <c r="C235" s="5" t="s">
        <v>307</v>
      </c>
      <c r="D235" s="84" t="s">
        <v>528</v>
      </c>
      <c r="E235" s="5" t="s">
        <v>622</v>
      </c>
      <c r="F235" s="76">
        <v>1</v>
      </c>
      <c r="G235" s="25">
        <v>7120</v>
      </c>
      <c r="H235" s="18">
        <f t="shared" si="42"/>
        <v>6489.1224320000001</v>
      </c>
      <c r="I235" s="18">
        <f t="shared" si="43"/>
        <v>630.87756799999988</v>
      </c>
      <c r="J235" s="18">
        <f t="shared" si="44"/>
        <v>7120</v>
      </c>
      <c r="K235" s="18">
        <v>0</v>
      </c>
      <c r="L235" s="18">
        <f t="shared" si="45"/>
        <v>0</v>
      </c>
      <c r="M235" s="38" t="s">
        <v>643</v>
      </c>
      <c r="P235" s="43">
        <f t="shared" si="46"/>
        <v>0</v>
      </c>
      <c r="R235" s="43">
        <f t="shared" si="47"/>
        <v>0</v>
      </c>
      <c r="S235" s="43">
        <f t="shared" si="48"/>
        <v>0</v>
      </c>
      <c r="T235" s="43">
        <f t="shared" si="49"/>
        <v>6489.1224320000001</v>
      </c>
      <c r="U235" s="43">
        <f t="shared" si="50"/>
        <v>630.87756799999988</v>
      </c>
      <c r="V235" s="43">
        <f t="shared" si="51"/>
        <v>0</v>
      </c>
      <c r="W235" s="43">
        <f t="shared" si="52"/>
        <v>0</v>
      </c>
      <c r="X235" s="43">
        <f t="shared" si="53"/>
        <v>0</v>
      </c>
      <c r="Y235" s="34" t="s">
        <v>198</v>
      </c>
      <c r="Z235" s="18">
        <f t="shared" si="54"/>
        <v>0</v>
      </c>
      <c r="AA235" s="18">
        <f t="shared" si="55"/>
        <v>0</v>
      </c>
      <c r="AB235" s="18">
        <f t="shared" si="56"/>
        <v>7120</v>
      </c>
      <c r="AD235" s="43">
        <v>21</v>
      </c>
      <c r="AE235" s="43">
        <f>G235*0.9113936</f>
        <v>6489.1224320000001</v>
      </c>
      <c r="AF235" s="43">
        <f>G235*(1-0.9113936)</f>
        <v>630.87756799999977</v>
      </c>
      <c r="AG235" s="38" t="s">
        <v>13</v>
      </c>
      <c r="AM235" s="43">
        <f t="shared" si="57"/>
        <v>6489.1224320000001</v>
      </c>
      <c r="AN235" s="43">
        <f t="shared" si="58"/>
        <v>630.87756799999977</v>
      </c>
      <c r="AO235" s="44" t="s">
        <v>664</v>
      </c>
      <c r="AP235" s="44" t="s">
        <v>697</v>
      </c>
      <c r="AQ235" s="34" t="s">
        <v>714</v>
      </c>
      <c r="AS235" s="43">
        <f t="shared" si="59"/>
        <v>7120</v>
      </c>
      <c r="AT235" s="43">
        <f t="shared" si="60"/>
        <v>7120</v>
      </c>
      <c r="AU235" s="43">
        <v>0</v>
      </c>
      <c r="AV235" s="43">
        <f t="shared" si="61"/>
        <v>0</v>
      </c>
    </row>
    <row r="236" spans="1:48">
      <c r="A236" s="4"/>
      <c r="B236" s="14" t="s">
        <v>198</v>
      </c>
      <c r="C236" s="14" t="s">
        <v>102</v>
      </c>
      <c r="D236" s="83" t="s">
        <v>416</v>
      </c>
      <c r="E236" s="4" t="s">
        <v>6</v>
      </c>
      <c r="F236" s="4" t="s">
        <v>6</v>
      </c>
      <c r="G236" s="24" t="s">
        <v>6</v>
      </c>
      <c r="H236" s="46">
        <f>SUM(H237:H238)</f>
        <v>0</v>
      </c>
      <c r="I236" s="46">
        <f>SUM(I237:I238)</f>
        <v>1092.8</v>
      </c>
      <c r="J236" s="46">
        <f>H236+I236</f>
        <v>1092.8</v>
      </c>
      <c r="K236" s="34"/>
      <c r="L236" s="46">
        <f>SUM(L237:L238)</f>
        <v>0</v>
      </c>
      <c r="M236" s="34"/>
      <c r="Y236" s="34" t="s">
        <v>198</v>
      </c>
      <c r="AI236" s="46">
        <f>SUM(Z237:Z238)</f>
        <v>0</v>
      </c>
      <c r="AJ236" s="46">
        <f>SUM(AA237:AA238)</f>
        <v>0</v>
      </c>
      <c r="AK236" s="46">
        <f>SUM(AB237:AB238)</f>
        <v>1092.8</v>
      </c>
    </row>
    <row r="237" spans="1:48">
      <c r="A237" s="5" t="s">
        <v>128</v>
      </c>
      <c r="B237" s="5" t="s">
        <v>198</v>
      </c>
      <c r="C237" s="5" t="s">
        <v>308</v>
      </c>
      <c r="D237" s="84" t="s">
        <v>529</v>
      </c>
      <c r="E237" s="5" t="s">
        <v>622</v>
      </c>
      <c r="F237" s="76">
        <v>17</v>
      </c>
      <c r="G237" s="25">
        <v>15.4</v>
      </c>
      <c r="H237" s="18">
        <f>F237*AE237</f>
        <v>0</v>
      </c>
      <c r="I237" s="18">
        <f>J237-H237</f>
        <v>261.8</v>
      </c>
      <c r="J237" s="18">
        <f>F237*G237</f>
        <v>261.8</v>
      </c>
      <c r="K237" s="18">
        <v>0</v>
      </c>
      <c r="L237" s="18">
        <f>F237*K237</f>
        <v>0</v>
      </c>
      <c r="M237" s="38" t="s">
        <v>643</v>
      </c>
      <c r="P237" s="43">
        <f>IF(AG237="5",J237,0)</f>
        <v>0</v>
      </c>
      <c r="R237" s="43">
        <f>IF(AG237="1",H237,0)</f>
        <v>0</v>
      </c>
      <c r="S237" s="43">
        <f>IF(AG237="1",I237,0)</f>
        <v>261.8</v>
      </c>
      <c r="T237" s="43">
        <f>IF(AG237="7",H237,0)</f>
        <v>0</v>
      </c>
      <c r="U237" s="43">
        <f>IF(AG237="7",I237,0)</f>
        <v>0</v>
      </c>
      <c r="V237" s="43">
        <f>IF(AG237="2",H237,0)</f>
        <v>0</v>
      </c>
      <c r="W237" s="43">
        <f>IF(AG237="2",I237,0)</f>
        <v>0</v>
      </c>
      <c r="X237" s="43">
        <f>IF(AG237="0",J237,0)</f>
        <v>0</v>
      </c>
      <c r="Y237" s="34" t="s">
        <v>198</v>
      </c>
      <c r="Z237" s="18">
        <f>IF(AD237=0,J237,0)</f>
        <v>0</v>
      </c>
      <c r="AA237" s="18">
        <f>IF(AD237=15,J237,0)</f>
        <v>0</v>
      </c>
      <c r="AB237" s="18">
        <f>IF(AD237=21,J237,0)</f>
        <v>261.8</v>
      </c>
      <c r="AD237" s="43">
        <v>21</v>
      </c>
      <c r="AE237" s="43">
        <f>G237*0</f>
        <v>0</v>
      </c>
      <c r="AF237" s="43">
        <f>G237*(1-0)</f>
        <v>15.4</v>
      </c>
      <c r="AG237" s="38" t="s">
        <v>7</v>
      </c>
      <c r="AM237" s="43">
        <f>F237*AE237</f>
        <v>0</v>
      </c>
      <c r="AN237" s="43">
        <f>F237*AF237</f>
        <v>261.8</v>
      </c>
      <c r="AO237" s="44" t="s">
        <v>665</v>
      </c>
      <c r="AP237" s="44" t="s">
        <v>698</v>
      </c>
      <c r="AQ237" s="34" t="s">
        <v>714</v>
      </c>
      <c r="AS237" s="43">
        <f>AM237+AN237</f>
        <v>261.8</v>
      </c>
      <c r="AT237" s="43">
        <f>G237/(100-AU237)*100</f>
        <v>15.4</v>
      </c>
      <c r="AU237" s="43">
        <v>0</v>
      </c>
      <c r="AV237" s="43">
        <f>L237</f>
        <v>0</v>
      </c>
    </row>
    <row r="238" spans="1:48">
      <c r="A238" s="5" t="s">
        <v>129</v>
      </c>
      <c r="B238" s="5" t="s">
        <v>198</v>
      </c>
      <c r="C238" s="5" t="s">
        <v>309</v>
      </c>
      <c r="D238" s="84" t="s">
        <v>530</v>
      </c>
      <c r="E238" s="5" t="s">
        <v>622</v>
      </c>
      <c r="F238" s="76">
        <v>30</v>
      </c>
      <c r="G238" s="25">
        <v>27.7</v>
      </c>
      <c r="H238" s="18">
        <f>F238*AE238</f>
        <v>0</v>
      </c>
      <c r="I238" s="18">
        <f>J238-H238</f>
        <v>831</v>
      </c>
      <c r="J238" s="18">
        <f>F238*G238</f>
        <v>831</v>
      </c>
      <c r="K238" s="18">
        <v>0</v>
      </c>
      <c r="L238" s="18">
        <f>F238*K238</f>
        <v>0</v>
      </c>
      <c r="M238" s="38" t="s">
        <v>643</v>
      </c>
      <c r="P238" s="43">
        <f>IF(AG238="5",J238,0)</f>
        <v>0</v>
      </c>
      <c r="R238" s="43">
        <f>IF(AG238="1",H238,0)</f>
        <v>0</v>
      </c>
      <c r="S238" s="43">
        <f>IF(AG238="1",I238,0)</f>
        <v>831</v>
      </c>
      <c r="T238" s="43">
        <f>IF(AG238="7",H238,0)</f>
        <v>0</v>
      </c>
      <c r="U238" s="43">
        <f>IF(AG238="7",I238,0)</f>
        <v>0</v>
      </c>
      <c r="V238" s="43">
        <f>IF(AG238="2",H238,0)</f>
        <v>0</v>
      </c>
      <c r="W238" s="43">
        <f>IF(AG238="2",I238,0)</f>
        <v>0</v>
      </c>
      <c r="X238" s="43">
        <f>IF(AG238="0",J238,0)</f>
        <v>0</v>
      </c>
      <c r="Y238" s="34" t="s">
        <v>198</v>
      </c>
      <c r="Z238" s="18">
        <f>IF(AD238=0,J238,0)</f>
        <v>0</v>
      </c>
      <c r="AA238" s="18">
        <f>IF(AD238=15,J238,0)</f>
        <v>0</v>
      </c>
      <c r="AB238" s="18">
        <f>IF(AD238=21,J238,0)</f>
        <v>831</v>
      </c>
      <c r="AD238" s="43">
        <v>21</v>
      </c>
      <c r="AE238" s="43">
        <f>G238*0</f>
        <v>0</v>
      </c>
      <c r="AF238" s="43">
        <f>G238*(1-0)</f>
        <v>27.7</v>
      </c>
      <c r="AG238" s="38" t="s">
        <v>7</v>
      </c>
      <c r="AM238" s="43">
        <f>F238*AE238</f>
        <v>0</v>
      </c>
      <c r="AN238" s="43">
        <f>F238*AF238</f>
        <v>831</v>
      </c>
      <c r="AO238" s="44" t="s">
        <v>665</v>
      </c>
      <c r="AP238" s="44" t="s">
        <v>698</v>
      </c>
      <c r="AQ238" s="34" t="s">
        <v>714</v>
      </c>
      <c r="AS238" s="43">
        <f>AM238+AN238</f>
        <v>831</v>
      </c>
      <c r="AT238" s="43">
        <f>G238/(100-AU238)*100</f>
        <v>27.699999999999996</v>
      </c>
      <c r="AU238" s="43">
        <v>0</v>
      </c>
      <c r="AV238" s="43">
        <f>L238</f>
        <v>0</v>
      </c>
    </row>
    <row r="239" spans="1:48">
      <c r="A239" s="4"/>
      <c r="B239" s="14" t="s">
        <v>198</v>
      </c>
      <c r="C239" s="14" t="s">
        <v>220</v>
      </c>
      <c r="D239" s="83" t="s">
        <v>378</v>
      </c>
      <c r="E239" s="4" t="s">
        <v>6</v>
      </c>
      <c r="F239" s="4" t="s">
        <v>6</v>
      </c>
      <c r="G239" s="24" t="s">
        <v>6</v>
      </c>
      <c r="H239" s="46">
        <f>SUM(H240:H255)</f>
        <v>1.2263188138905594</v>
      </c>
      <c r="I239" s="46">
        <f>SUM(I240:I255)</f>
        <v>1173.3826811861095</v>
      </c>
      <c r="J239" s="46">
        <f>H239+I239</f>
        <v>1174.6090000000002</v>
      </c>
      <c r="K239" s="34"/>
      <c r="L239" s="46">
        <f>SUM(L240:L255)</f>
        <v>0</v>
      </c>
      <c r="M239" s="34"/>
      <c r="Y239" s="34" t="s">
        <v>198</v>
      </c>
      <c r="AI239" s="46">
        <f>SUM(Z240:Z255)</f>
        <v>0</v>
      </c>
      <c r="AJ239" s="46">
        <f>SUM(AA240:AA255)</f>
        <v>0</v>
      </c>
      <c r="AK239" s="46">
        <f>SUM(AB240:AB255)</f>
        <v>1174.6089999999999</v>
      </c>
    </row>
    <row r="240" spans="1:48">
      <c r="A240" s="5" t="s">
        <v>130</v>
      </c>
      <c r="B240" s="5" t="s">
        <v>198</v>
      </c>
      <c r="C240" s="5" t="s">
        <v>310</v>
      </c>
      <c r="D240" s="84" t="s">
        <v>531</v>
      </c>
      <c r="E240" s="5" t="s">
        <v>621</v>
      </c>
      <c r="F240" s="76">
        <v>0.41</v>
      </c>
      <c r="G240" s="25">
        <v>696</v>
      </c>
      <c r="H240" s="18">
        <f>F240*AE240</f>
        <v>0</v>
      </c>
      <c r="I240" s="18">
        <f>J240-H240</f>
        <v>285.35999999999996</v>
      </c>
      <c r="J240" s="18">
        <f>F240*G240</f>
        <v>285.35999999999996</v>
      </c>
      <c r="K240" s="18">
        <v>0</v>
      </c>
      <c r="L240" s="18">
        <f>F240*K240</f>
        <v>0</v>
      </c>
      <c r="M240" s="38" t="s">
        <v>643</v>
      </c>
      <c r="P240" s="43">
        <f>IF(AG240="5",J240,0)</f>
        <v>285.35999999999996</v>
      </c>
      <c r="R240" s="43">
        <f>IF(AG240="1",H240,0)</f>
        <v>0</v>
      </c>
      <c r="S240" s="43">
        <f>IF(AG240="1",I240,0)</f>
        <v>0</v>
      </c>
      <c r="T240" s="43">
        <f>IF(AG240="7",H240,0)</f>
        <v>0</v>
      </c>
      <c r="U240" s="43">
        <f>IF(AG240="7",I240,0)</f>
        <v>0</v>
      </c>
      <c r="V240" s="43">
        <f>IF(AG240="2",H240,0)</f>
        <v>0</v>
      </c>
      <c r="W240" s="43">
        <f>IF(AG240="2",I240,0)</f>
        <v>0</v>
      </c>
      <c r="X240" s="43">
        <f>IF(AG240="0",J240,0)</f>
        <v>0</v>
      </c>
      <c r="Y240" s="34" t="s">
        <v>198</v>
      </c>
      <c r="Z240" s="18">
        <f>IF(AD240=0,J240,0)</f>
        <v>0</v>
      </c>
      <c r="AA240" s="18">
        <f>IF(AD240=15,J240,0)</f>
        <v>0</v>
      </c>
      <c r="AB240" s="18">
        <f>IF(AD240=21,J240,0)</f>
        <v>285.35999999999996</v>
      </c>
      <c r="AD240" s="43">
        <v>21</v>
      </c>
      <c r="AE240" s="43">
        <f>G240*0</f>
        <v>0</v>
      </c>
      <c r="AF240" s="43">
        <f>G240*(1-0)</f>
        <v>696</v>
      </c>
      <c r="AG240" s="38" t="s">
        <v>11</v>
      </c>
      <c r="AM240" s="43">
        <f>F240*AE240</f>
        <v>0</v>
      </c>
      <c r="AN240" s="43">
        <f>F240*AF240</f>
        <v>285.35999999999996</v>
      </c>
      <c r="AO240" s="44" t="s">
        <v>662</v>
      </c>
      <c r="AP240" s="44" t="s">
        <v>698</v>
      </c>
      <c r="AQ240" s="34" t="s">
        <v>714</v>
      </c>
      <c r="AS240" s="43">
        <f>AM240+AN240</f>
        <v>285.35999999999996</v>
      </c>
      <c r="AT240" s="43">
        <f>G240/(100-AU240)*100</f>
        <v>696</v>
      </c>
      <c r="AU240" s="43">
        <v>0</v>
      </c>
      <c r="AV240" s="43">
        <f>L240</f>
        <v>0</v>
      </c>
    </row>
    <row r="241" spans="1:48">
      <c r="D241" s="85" t="s">
        <v>532</v>
      </c>
      <c r="F241" s="77">
        <v>0.12</v>
      </c>
      <c r="G241" s="26"/>
    </row>
    <row r="242" spans="1:48">
      <c r="D242" s="85" t="s">
        <v>533</v>
      </c>
      <c r="F242" s="77">
        <v>0.26</v>
      </c>
      <c r="G242" s="26"/>
    </row>
    <row r="243" spans="1:48">
      <c r="D243" s="85" t="s">
        <v>534</v>
      </c>
      <c r="F243" s="77">
        <v>0.03</v>
      </c>
      <c r="G243" s="26"/>
    </row>
    <row r="244" spans="1:48">
      <c r="A244" s="5" t="s">
        <v>131</v>
      </c>
      <c r="B244" s="5" t="s">
        <v>198</v>
      </c>
      <c r="C244" s="5" t="s">
        <v>311</v>
      </c>
      <c r="D244" s="84" t="s">
        <v>535</v>
      </c>
      <c r="E244" s="5" t="s">
        <v>621</v>
      </c>
      <c r="F244" s="76">
        <v>0.82</v>
      </c>
      <c r="G244" s="25">
        <v>113</v>
      </c>
      <c r="H244" s="18">
        <f>F244*AE244</f>
        <v>0</v>
      </c>
      <c r="I244" s="18">
        <f>J244-H244</f>
        <v>92.66</v>
      </c>
      <c r="J244" s="18">
        <f>F244*G244</f>
        <v>92.66</v>
      </c>
      <c r="K244" s="18">
        <v>0</v>
      </c>
      <c r="L244" s="18">
        <f>F244*K244</f>
        <v>0</v>
      </c>
      <c r="M244" s="38" t="s">
        <v>643</v>
      </c>
      <c r="P244" s="43">
        <f>IF(AG244="5",J244,0)</f>
        <v>92.66</v>
      </c>
      <c r="R244" s="43">
        <f>IF(AG244="1",H244,0)</f>
        <v>0</v>
      </c>
      <c r="S244" s="43">
        <f>IF(AG244="1",I244,0)</f>
        <v>0</v>
      </c>
      <c r="T244" s="43">
        <f>IF(AG244="7",H244,0)</f>
        <v>0</v>
      </c>
      <c r="U244" s="43">
        <f>IF(AG244="7",I244,0)</f>
        <v>0</v>
      </c>
      <c r="V244" s="43">
        <f>IF(AG244="2",H244,0)</f>
        <v>0</v>
      </c>
      <c r="W244" s="43">
        <f>IF(AG244="2",I244,0)</f>
        <v>0</v>
      </c>
      <c r="X244" s="43">
        <f>IF(AG244="0",J244,0)</f>
        <v>0</v>
      </c>
      <c r="Y244" s="34" t="s">
        <v>198</v>
      </c>
      <c r="Z244" s="18">
        <f>IF(AD244=0,J244,0)</f>
        <v>0</v>
      </c>
      <c r="AA244" s="18">
        <f>IF(AD244=15,J244,0)</f>
        <v>0</v>
      </c>
      <c r="AB244" s="18">
        <f>IF(AD244=21,J244,0)</f>
        <v>92.66</v>
      </c>
      <c r="AD244" s="43">
        <v>21</v>
      </c>
      <c r="AE244" s="43">
        <f>G244*0</f>
        <v>0</v>
      </c>
      <c r="AF244" s="43">
        <f>G244*(1-0)</f>
        <v>113</v>
      </c>
      <c r="AG244" s="38" t="s">
        <v>11</v>
      </c>
      <c r="AM244" s="43">
        <f>F244*AE244</f>
        <v>0</v>
      </c>
      <c r="AN244" s="43">
        <f>F244*AF244</f>
        <v>92.66</v>
      </c>
      <c r="AO244" s="44" t="s">
        <v>662</v>
      </c>
      <c r="AP244" s="44" t="s">
        <v>698</v>
      </c>
      <c r="AQ244" s="34" t="s">
        <v>714</v>
      </c>
      <c r="AS244" s="43">
        <f>AM244+AN244</f>
        <v>92.66</v>
      </c>
      <c r="AT244" s="43">
        <f>G244/(100-AU244)*100</f>
        <v>112.99999999999999</v>
      </c>
      <c r="AU244" s="43">
        <v>0</v>
      </c>
      <c r="AV244" s="43">
        <f>L244</f>
        <v>0</v>
      </c>
    </row>
    <row r="245" spans="1:48">
      <c r="D245" s="85" t="s">
        <v>536</v>
      </c>
      <c r="F245" s="77">
        <v>0.82</v>
      </c>
      <c r="G245" s="26"/>
    </row>
    <row r="246" spans="1:48">
      <c r="A246" s="5" t="s">
        <v>132</v>
      </c>
      <c r="B246" s="5" t="s">
        <v>198</v>
      </c>
      <c r="C246" s="5" t="s">
        <v>312</v>
      </c>
      <c r="D246" s="84" t="s">
        <v>537</v>
      </c>
      <c r="E246" s="5" t="s">
        <v>621</v>
      </c>
      <c r="F246" s="76">
        <v>1.23</v>
      </c>
      <c r="G246" s="25">
        <v>127</v>
      </c>
      <c r="H246" s="18">
        <f>F246*AE246</f>
        <v>0</v>
      </c>
      <c r="I246" s="18">
        <f>J246-H246</f>
        <v>156.21</v>
      </c>
      <c r="J246" s="18">
        <f>F246*G246</f>
        <v>156.21</v>
      </c>
      <c r="K246" s="18">
        <v>0</v>
      </c>
      <c r="L246" s="18">
        <f>F246*K246</f>
        <v>0</v>
      </c>
      <c r="M246" s="38" t="s">
        <v>643</v>
      </c>
      <c r="P246" s="43">
        <f>IF(AG246="5",J246,0)</f>
        <v>156.21</v>
      </c>
      <c r="R246" s="43">
        <f>IF(AG246="1",H246,0)</f>
        <v>0</v>
      </c>
      <c r="S246" s="43">
        <f>IF(AG246="1",I246,0)</f>
        <v>0</v>
      </c>
      <c r="T246" s="43">
        <f>IF(AG246="7",H246,0)</f>
        <v>0</v>
      </c>
      <c r="U246" s="43">
        <f>IF(AG246="7",I246,0)</f>
        <v>0</v>
      </c>
      <c r="V246" s="43">
        <f>IF(AG246="2",H246,0)</f>
        <v>0</v>
      </c>
      <c r="W246" s="43">
        <f>IF(AG246="2",I246,0)</f>
        <v>0</v>
      </c>
      <c r="X246" s="43">
        <f>IF(AG246="0",J246,0)</f>
        <v>0</v>
      </c>
      <c r="Y246" s="34" t="s">
        <v>198</v>
      </c>
      <c r="Z246" s="18">
        <f>IF(AD246=0,J246,0)</f>
        <v>0</v>
      </c>
      <c r="AA246" s="18">
        <f>IF(AD246=15,J246,0)</f>
        <v>0</v>
      </c>
      <c r="AB246" s="18">
        <f>IF(AD246=21,J246,0)</f>
        <v>156.21</v>
      </c>
      <c r="AD246" s="43">
        <v>21</v>
      </c>
      <c r="AE246" s="43">
        <f>G246*0</f>
        <v>0</v>
      </c>
      <c r="AF246" s="43">
        <f>G246*(1-0)</f>
        <v>127</v>
      </c>
      <c r="AG246" s="38" t="s">
        <v>11</v>
      </c>
      <c r="AM246" s="43">
        <f>F246*AE246</f>
        <v>0</v>
      </c>
      <c r="AN246" s="43">
        <f>F246*AF246</f>
        <v>156.21</v>
      </c>
      <c r="AO246" s="44" t="s">
        <v>662</v>
      </c>
      <c r="AP246" s="44" t="s">
        <v>698</v>
      </c>
      <c r="AQ246" s="34" t="s">
        <v>714</v>
      </c>
      <c r="AS246" s="43">
        <f>AM246+AN246</f>
        <v>156.21</v>
      </c>
      <c r="AT246" s="43">
        <f>G246/(100-AU246)*100</f>
        <v>127</v>
      </c>
      <c r="AU246" s="43">
        <v>0</v>
      </c>
      <c r="AV246" s="43">
        <f>L246</f>
        <v>0</v>
      </c>
    </row>
    <row r="247" spans="1:48">
      <c r="D247" s="85" t="s">
        <v>538</v>
      </c>
      <c r="F247" s="77">
        <v>1.23</v>
      </c>
      <c r="G247" s="26"/>
    </row>
    <row r="248" spans="1:48">
      <c r="A248" s="5" t="s">
        <v>133</v>
      </c>
      <c r="B248" s="5" t="s">
        <v>198</v>
      </c>
      <c r="C248" s="5" t="s">
        <v>313</v>
      </c>
      <c r="D248" s="84" t="s">
        <v>539</v>
      </c>
      <c r="E248" s="5" t="s">
        <v>621</v>
      </c>
      <c r="F248" s="76">
        <v>0.41</v>
      </c>
      <c r="G248" s="25">
        <v>294</v>
      </c>
      <c r="H248" s="18">
        <f>F248*AE248</f>
        <v>0</v>
      </c>
      <c r="I248" s="18">
        <f>J248-H248</f>
        <v>120.53999999999999</v>
      </c>
      <c r="J248" s="18">
        <f>F248*G248</f>
        <v>120.53999999999999</v>
      </c>
      <c r="K248" s="18">
        <v>0</v>
      </c>
      <c r="L248" s="18">
        <f>F248*K248</f>
        <v>0</v>
      </c>
      <c r="M248" s="38" t="s">
        <v>643</v>
      </c>
      <c r="P248" s="43">
        <f>IF(AG248="5",J248,0)</f>
        <v>120.53999999999999</v>
      </c>
      <c r="R248" s="43">
        <f>IF(AG248="1",H248,0)</f>
        <v>0</v>
      </c>
      <c r="S248" s="43">
        <f>IF(AG248="1",I248,0)</f>
        <v>0</v>
      </c>
      <c r="T248" s="43">
        <f>IF(AG248="7",H248,0)</f>
        <v>0</v>
      </c>
      <c r="U248" s="43">
        <f>IF(AG248="7",I248,0)</f>
        <v>0</v>
      </c>
      <c r="V248" s="43">
        <f>IF(AG248="2",H248,0)</f>
        <v>0</v>
      </c>
      <c r="W248" s="43">
        <f>IF(AG248="2",I248,0)</f>
        <v>0</v>
      </c>
      <c r="X248" s="43">
        <f>IF(AG248="0",J248,0)</f>
        <v>0</v>
      </c>
      <c r="Y248" s="34" t="s">
        <v>198</v>
      </c>
      <c r="Z248" s="18">
        <f>IF(AD248=0,J248,0)</f>
        <v>0</v>
      </c>
      <c r="AA248" s="18">
        <f>IF(AD248=15,J248,0)</f>
        <v>0</v>
      </c>
      <c r="AB248" s="18">
        <f>IF(AD248=21,J248,0)</f>
        <v>120.53999999999999</v>
      </c>
      <c r="AD248" s="43">
        <v>21</v>
      </c>
      <c r="AE248" s="43">
        <f>G248*0</f>
        <v>0</v>
      </c>
      <c r="AF248" s="43">
        <f>G248*(1-0)</f>
        <v>294</v>
      </c>
      <c r="AG248" s="38" t="s">
        <v>11</v>
      </c>
      <c r="AM248" s="43">
        <f>F248*AE248</f>
        <v>0</v>
      </c>
      <c r="AN248" s="43">
        <f>F248*AF248</f>
        <v>120.53999999999999</v>
      </c>
      <c r="AO248" s="44" t="s">
        <v>662</v>
      </c>
      <c r="AP248" s="44" t="s">
        <v>698</v>
      </c>
      <c r="AQ248" s="34" t="s">
        <v>714</v>
      </c>
      <c r="AS248" s="43">
        <f>AM248+AN248</f>
        <v>120.53999999999999</v>
      </c>
      <c r="AT248" s="43">
        <f>G248/(100-AU248)*100</f>
        <v>294</v>
      </c>
      <c r="AU248" s="43">
        <v>0</v>
      </c>
      <c r="AV248" s="43">
        <f>L248</f>
        <v>0</v>
      </c>
    </row>
    <row r="249" spans="1:48">
      <c r="D249" s="85" t="s">
        <v>540</v>
      </c>
      <c r="F249" s="77">
        <v>0.41</v>
      </c>
      <c r="G249" s="26"/>
    </row>
    <row r="250" spans="1:48">
      <c r="A250" s="5" t="s">
        <v>134</v>
      </c>
      <c r="B250" s="5" t="s">
        <v>198</v>
      </c>
      <c r="C250" s="5" t="s">
        <v>224</v>
      </c>
      <c r="D250" s="84" t="s">
        <v>384</v>
      </c>
      <c r="E250" s="5" t="s">
        <v>621</v>
      </c>
      <c r="F250" s="76">
        <v>0.41</v>
      </c>
      <c r="G250" s="25">
        <v>9.9</v>
      </c>
      <c r="H250" s="18">
        <f>F250*AE250</f>
        <v>0</v>
      </c>
      <c r="I250" s="18">
        <f>J250-H250</f>
        <v>4.0590000000000002</v>
      </c>
      <c r="J250" s="18">
        <f>F250*G250</f>
        <v>4.0590000000000002</v>
      </c>
      <c r="K250" s="18">
        <v>0</v>
      </c>
      <c r="L250" s="18">
        <f>F250*K250</f>
        <v>0</v>
      </c>
      <c r="M250" s="38" t="s">
        <v>643</v>
      </c>
      <c r="P250" s="43">
        <f>IF(AG250="5",J250,0)</f>
        <v>4.0590000000000002</v>
      </c>
      <c r="R250" s="43">
        <f>IF(AG250="1",H250,0)</f>
        <v>0</v>
      </c>
      <c r="S250" s="43">
        <f>IF(AG250="1",I250,0)</f>
        <v>0</v>
      </c>
      <c r="T250" s="43">
        <f>IF(AG250="7",H250,0)</f>
        <v>0</v>
      </c>
      <c r="U250" s="43">
        <f>IF(AG250="7",I250,0)</f>
        <v>0</v>
      </c>
      <c r="V250" s="43">
        <f>IF(AG250="2",H250,0)</f>
        <v>0</v>
      </c>
      <c r="W250" s="43">
        <f>IF(AG250="2",I250,0)</f>
        <v>0</v>
      </c>
      <c r="X250" s="43">
        <f>IF(AG250="0",J250,0)</f>
        <v>0</v>
      </c>
      <c r="Y250" s="34" t="s">
        <v>198</v>
      </c>
      <c r="Z250" s="18">
        <f>IF(AD250=0,J250,0)</f>
        <v>0</v>
      </c>
      <c r="AA250" s="18">
        <f>IF(AD250=15,J250,0)</f>
        <v>0</v>
      </c>
      <c r="AB250" s="18">
        <f>IF(AD250=21,J250,0)</f>
        <v>4.0590000000000002</v>
      </c>
      <c r="AD250" s="43">
        <v>21</v>
      </c>
      <c r="AE250" s="43">
        <f>G250*0</f>
        <v>0</v>
      </c>
      <c r="AF250" s="43">
        <f>G250*(1-0)</f>
        <v>9.9</v>
      </c>
      <c r="AG250" s="38" t="s">
        <v>11</v>
      </c>
      <c r="AM250" s="43">
        <f>F250*AE250</f>
        <v>0</v>
      </c>
      <c r="AN250" s="43">
        <f>F250*AF250</f>
        <v>4.0590000000000002</v>
      </c>
      <c r="AO250" s="44" t="s">
        <v>662</v>
      </c>
      <c r="AP250" s="44" t="s">
        <v>698</v>
      </c>
      <c r="AQ250" s="34" t="s">
        <v>714</v>
      </c>
      <c r="AS250" s="43">
        <f>AM250+AN250</f>
        <v>4.0590000000000002</v>
      </c>
      <c r="AT250" s="43">
        <f>G250/(100-AU250)*100</f>
        <v>9.9</v>
      </c>
      <c r="AU250" s="43">
        <v>0</v>
      </c>
      <c r="AV250" s="43">
        <f>L250</f>
        <v>0</v>
      </c>
    </row>
    <row r="251" spans="1:48">
      <c r="A251" s="5" t="s">
        <v>135</v>
      </c>
      <c r="B251" s="5" t="s">
        <v>198</v>
      </c>
      <c r="C251" s="5" t="s">
        <v>245</v>
      </c>
      <c r="D251" s="84" t="s">
        <v>436</v>
      </c>
      <c r="E251" s="5" t="s">
        <v>621</v>
      </c>
      <c r="F251" s="76">
        <v>0.41</v>
      </c>
      <c r="G251" s="25">
        <v>100</v>
      </c>
      <c r="H251" s="18">
        <f>F251*AE251</f>
        <v>0</v>
      </c>
      <c r="I251" s="18">
        <f>J251-H251</f>
        <v>41</v>
      </c>
      <c r="J251" s="18">
        <f>F251*G251</f>
        <v>41</v>
      </c>
      <c r="K251" s="18">
        <v>0</v>
      </c>
      <c r="L251" s="18">
        <f>F251*K251</f>
        <v>0</v>
      </c>
      <c r="M251" s="38" t="s">
        <v>643</v>
      </c>
      <c r="P251" s="43">
        <f>IF(AG251="5",J251,0)</f>
        <v>41</v>
      </c>
      <c r="R251" s="43">
        <f>IF(AG251="1",H251,0)</f>
        <v>0</v>
      </c>
      <c r="S251" s="43">
        <f>IF(AG251="1",I251,0)</f>
        <v>0</v>
      </c>
      <c r="T251" s="43">
        <f>IF(AG251="7",H251,0)</f>
        <v>0</v>
      </c>
      <c r="U251" s="43">
        <f>IF(AG251="7",I251,0)</f>
        <v>0</v>
      </c>
      <c r="V251" s="43">
        <f>IF(AG251="2",H251,0)</f>
        <v>0</v>
      </c>
      <c r="W251" s="43">
        <f>IF(AG251="2",I251,0)</f>
        <v>0</v>
      </c>
      <c r="X251" s="43">
        <f>IF(AG251="0",J251,0)</f>
        <v>0</v>
      </c>
      <c r="Y251" s="34" t="s">
        <v>198</v>
      </c>
      <c r="Z251" s="18">
        <f>IF(AD251=0,J251,0)</f>
        <v>0</v>
      </c>
      <c r="AA251" s="18">
        <f>IF(AD251=15,J251,0)</f>
        <v>0</v>
      </c>
      <c r="AB251" s="18">
        <f>IF(AD251=21,J251,0)</f>
        <v>41</v>
      </c>
      <c r="AD251" s="43">
        <v>21</v>
      </c>
      <c r="AE251" s="43">
        <f>G251*0</f>
        <v>0</v>
      </c>
      <c r="AF251" s="43">
        <f>G251*(1-0)</f>
        <v>100</v>
      </c>
      <c r="AG251" s="38" t="s">
        <v>11</v>
      </c>
      <c r="AM251" s="43">
        <f>F251*AE251</f>
        <v>0</v>
      </c>
      <c r="AN251" s="43">
        <f>F251*AF251</f>
        <v>41</v>
      </c>
      <c r="AO251" s="44" t="s">
        <v>662</v>
      </c>
      <c r="AP251" s="44" t="s">
        <v>698</v>
      </c>
      <c r="AQ251" s="34" t="s">
        <v>714</v>
      </c>
      <c r="AS251" s="43">
        <f>AM251+AN251</f>
        <v>41</v>
      </c>
      <c r="AT251" s="43">
        <f>G251/(100-AU251)*100</f>
        <v>100</v>
      </c>
      <c r="AU251" s="43">
        <v>0</v>
      </c>
      <c r="AV251" s="43">
        <f>L251</f>
        <v>0</v>
      </c>
    </row>
    <row r="252" spans="1:48">
      <c r="A252" s="5" t="s">
        <v>136</v>
      </c>
      <c r="B252" s="5" t="s">
        <v>198</v>
      </c>
      <c r="C252" s="5" t="s">
        <v>223</v>
      </c>
      <c r="D252" s="84" t="s">
        <v>383</v>
      </c>
      <c r="E252" s="5" t="s">
        <v>621</v>
      </c>
      <c r="F252" s="76">
        <v>0.41</v>
      </c>
      <c r="G252" s="25">
        <v>329</v>
      </c>
      <c r="H252" s="18">
        <f>F252*AE252</f>
        <v>1.2263188138905594</v>
      </c>
      <c r="I252" s="18">
        <f>J252-H252</f>
        <v>133.66368118610941</v>
      </c>
      <c r="J252" s="18">
        <f>F252*G252</f>
        <v>134.88999999999999</v>
      </c>
      <c r="K252" s="18">
        <v>0</v>
      </c>
      <c r="L252" s="18">
        <f>F252*K252</f>
        <v>0</v>
      </c>
      <c r="M252" s="38" t="s">
        <v>643</v>
      </c>
      <c r="P252" s="43">
        <f>IF(AG252="5",J252,0)</f>
        <v>134.88999999999999</v>
      </c>
      <c r="R252" s="43">
        <f>IF(AG252="1",H252,0)</f>
        <v>0</v>
      </c>
      <c r="S252" s="43">
        <f>IF(AG252="1",I252,0)</f>
        <v>0</v>
      </c>
      <c r="T252" s="43">
        <f>IF(AG252="7",H252,0)</f>
        <v>0</v>
      </c>
      <c r="U252" s="43">
        <f>IF(AG252="7",I252,0)</f>
        <v>0</v>
      </c>
      <c r="V252" s="43">
        <f>IF(AG252="2",H252,0)</f>
        <v>0</v>
      </c>
      <c r="W252" s="43">
        <f>IF(AG252="2",I252,0)</f>
        <v>0</v>
      </c>
      <c r="X252" s="43">
        <f>IF(AG252="0",J252,0)</f>
        <v>0</v>
      </c>
      <c r="Y252" s="34" t="s">
        <v>198</v>
      </c>
      <c r="Z252" s="18">
        <f>IF(AD252=0,J252,0)</f>
        <v>0</v>
      </c>
      <c r="AA252" s="18">
        <f>IF(AD252=15,J252,0)</f>
        <v>0</v>
      </c>
      <c r="AB252" s="18">
        <f>IF(AD252=21,J252,0)</f>
        <v>134.88999999999999</v>
      </c>
      <c r="AD252" s="43">
        <v>21</v>
      </c>
      <c r="AE252" s="43">
        <f>G252*0.00909125075165364</f>
        <v>2.9910214972940476</v>
      </c>
      <c r="AF252" s="43">
        <f>G252*(1-0.00909125075165364)</f>
        <v>326.00897850270599</v>
      </c>
      <c r="AG252" s="38" t="s">
        <v>11</v>
      </c>
      <c r="AM252" s="43">
        <f>F252*AE252</f>
        <v>1.2263188138905594</v>
      </c>
      <c r="AN252" s="43">
        <f>F252*AF252</f>
        <v>133.66368118610944</v>
      </c>
      <c r="AO252" s="44" t="s">
        <v>662</v>
      </c>
      <c r="AP252" s="44" t="s">
        <v>698</v>
      </c>
      <c r="AQ252" s="34" t="s">
        <v>714</v>
      </c>
      <c r="AS252" s="43">
        <f>AM252+AN252</f>
        <v>134.89000000000001</v>
      </c>
      <c r="AT252" s="43">
        <f>G252/(100-AU252)*100</f>
        <v>329</v>
      </c>
      <c r="AU252" s="43">
        <v>0</v>
      </c>
      <c r="AV252" s="43">
        <f>L252</f>
        <v>0</v>
      </c>
    </row>
    <row r="253" spans="1:48">
      <c r="A253" s="5" t="s">
        <v>137</v>
      </c>
      <c r="B253" s="5" t="s">
        <v>198</v>
      </c>
      <c r="C253" s="5" t="s">
        <v>225</v>
      </c>
      <c r="D253" s="84" t="s">
        <v>385</v>
      </c>
      <c r="E253" s="5" t="s">
        <v>621</v>
      </c>
      <c r="F253" s="76">
        <v>4.0999999999999996</v>
      </c>
      <c r="G253" s="25">
        <v>7.9</v>
      </c>
      <c r="H253" s="18">
        <f>F253*AE253</f>
        <v>0</v>
      </c>
      <c r="I253" s="18">
        <f>J253-H253</f>
        <v>32.39</v>
      </c>
      <c r="J253" s="18">
        <f>F253*G253</f>
        <v>32.39</v>
      </c>
      <c r="K253" s="18">
        <v>0</v>
      </c>
      <c r="L253" s="18">
        <f>F253*K253</f>
        <v>0</v>
      </c>
      <c r="M253" s="38" t="s">
        <v>643</v>
      </c>
      <c r="P253" s="43">
        <f>IF(AG253="5",J253,0)</f>
        <v>32.39</v>
      </c>
      <c r="R253" s="43">
        <f>IF(AG253="1",H253,0)</f>
        <v>0</v>
      </c>
      <c r="S253" s="43">
        <f>IF(AG253="1",I253,0)</f>
        <v>0</v>
      </c>
      <c r="T253" s="43">
        <f>IF(AG253="7",H253,0)</f>
        <v>0</v>
      </c>
      <c r="U253" s="43">
        <f>IF(AG253="7",I253,0)</f>
        <v>0</v>
      </c>
      <c r="V253" s="43">
        <f>IF(AG253="2",H253,0)</f>
        <v>0</v>
      </c>
      <c r="W253" s="43">
        <f>IF(AG253="2",I253,0)</f>
        <v>0</v>
      </c>
      <c r="X253" s="43">
        <f>IF(AG253="0",J253,0)</f>
        <v>0</v>
      </c>
      <c r="Y253" s="34" t="s">
        <v>198</v>
      </c>
      <c r="Z253" s="18">
        <f>IF(AD253=0,J253,0)</f>
        <v>0</v>
      </c>
      <c r="AA253" s="18">
        <f>IF(AD253=15,J253,0)</f>
        <v>0</v>
      </c>
      <c r="AB253" s="18">
        <f>IF(AD253=21,J253,0)</f>
        <v>32.39</v>
      </c>
      <c r="AD253" s="43">
        <v>21</v>
      </c>
      <c r="AE253" s="43">
        <f>G253*0</f>
        <v>0</v>
      </c>
      <c r="AF253" s="43">
        <f>G253*(1-0)</f>
        <v>7.9</v>
      </c>
      <c r="AG253" s="38" t="s">
        <v>11</v>
      </c>
      <c r="AM253" s="43">
        <f>F253*AE253</f>
        <v>0</v>
      </c>
      <c r="AN253" s="43">
        <f>F253*AF253</f>
        <v>32.39</v>
      </c>
      <c r="AO253" s="44" t="s">
        <v>662</v>
      </c>
      <c r="AP253" s="44" t="s">
        <v>698</v>
      </c>
      <c r="AQ253" s="34" t="s">
        <v>714</v>
      </c>
      <c r="AS253" s="43">
        <f>AM253+AN253</f>
        <v>32.39</v>
      </c>
      <c r="AT253" s="43">
        <f>G253/(100-AU253)*100</f>
        <v>7.9</v>
      </c>
      <c r="AU253" s="43">
        <v>0</v>
      </c>
      <c r="AV253" s="43">
        <f>L253</f>
        <v>0</v>
      </c>
    </row>
    <row r="254" spans="1:48">
      <c r="D254" s="85" t="s">
        <v>541</v>
      </c>
      <c r="F254" s="77">
        <v>4.0999999999999996</v>
      </c>
      <c r="G254" s="26"/>
    </row>
    <row r="255" spans="1:48">
      <c r="A255" s="5" t="s">
        <v>138</v>
      </c>
      <c r="B255" s="5" t="s">
        <v>198</v>
      </c>
      <c r="C255" s="5" t="s">
        <v>226</v>
      </c>
      <c r="D255" s="84" t="s">
        <v>387</v>
      </c>
      <c r="E255" s="5" t="s">
        <v>621</v>
      </c>
      <c r="F255" s="76">
        <v>0.41</v>
      </c>
      <c r="G255" s="25">
        <v>750</v>
      </c>
      <c r="H255" s="18">
        <f>F255*AE255</f>
        <v>0</v>
      </c>
      <c r="I255" s="18">
        <f>J255-H255</f>
        <v>307.5</v>
      </c>
      <c r="J255" s="18">
        <f>F255*G255</f>
        <v>307.5</v>
      </c>
      <c r="K255" s="18">
        <v>0</v>
      </c>
      <c r="L255" s="18">
        <f>F255*K255</f>
        <v>0</v>
      </c>
      <c r="M255" s="38" t="s">
        <v>643</v>
      </c>
      <c r="P255" s="43">
        <f>IF(AG255="5",J255,0)</f>
        <v>307.5</v>
      </c>
      <c r="R255" s="43">
        <f>IF(AG255="1",H255,0)</f>
        <v>0</v>
      </c>
      <c r="S255" s="43">
        <f>IF(AG255="1",I255,0)</f>
        <v>0</v>
      </c>
      <c r="T255" s="43">
        <f>IF(AG255="7",H255,0)</f>
        <v>0</v>
      </c>
      <c r="U255" s="43">
        <f>IF(AG255="7",I255,0)</f>
        <v>0</v>
      </c>
      <c r="V255" s="43">
        <f>IF(AG255="2",H255,0)</f>
        <v>0</v>
      </c>
      <c r="W255" s="43">
        <f>IF(AG255="2",I255,0)</f>
        <v>0</v>
      </c>
      <c r="X255" s="43">
        <f>IF(AG255="0",J255,0)</f>
        <v>0</v>
      </c>
      <c r="Y255" s="34" t="s">
        <v>198</v>
      </c>
      <c r="Z255" s="18">
        <f>IF(AD255=0,J255,0)</f>
        <v>0</v>
      </c>
      <c r="AA255" s="18">
        <f>IF(AD255=15,J255,0)</f>
        <v>0</v>
      </c>
      <c r="AB255" s="18">
        <f>IF(AD255=21,J255,0)</f>
        <v>307.5</v>
      </c>
      <c r="AD255" s="43">
        <v>21</v>
      </c>
      <c r="AE255" s="43">
        <f>G255*0</f>
        <v>0</v>
      </c>
      <c r="AF255" s="43">
        <f>G255*(1-0)</f>
        <v>750</v>
      </c>
      <c r="AG255" s="38" t="s">
        <v>11</v>
      </c>
      <c r="AM255" s="43">
        <f>F255*AE255</f>
        <v>0</v>
      </c>
      <c r="AN255" s="43">
        <f>F255*AF255</f>
        <v>307.5</v>
      </c>
      <c r="AO255" s="44" t="s">
        <v>662</v>
      </c>
      <c r="AP255" s="44" t="s">
        <v>698</v>
      </c>
      <c r="AQ255" s="34" t="s">
        <v>714</v>
      </c>
      <c r="AS255" s="43">
        <f>AM255+AN255</f>
        <v>307.5</v>
      </c>
      <c r="AT255" s="43">
        <f>G255/(100-AU255)*100</f>
        <v>750</v>
      </c>
      <c r="AU255" s="43">
        <v>0</v>
      </c>
      <c r="AV255" s="43">
        <f>L255</f>
        <v>0</v>
      </c>
    </row>
    <row r="256" spans="1:48">
      <c r="A256" s="7"/>
      <c r="B256" s="15" t="s">
        <v>199</v>
      </c>
      <c r="C256" s="15"/>
      <c r="D256" s="87" t="s">
        <v>542</v>
      </c>
      <c r="E256" s="7" t="s">
        <v>6</v>
      </c>
      <c r="F256" s="7" t="s">
        <v>6</v>
      </c>
      <c r="G256" s="28" t="s">
        <v>6</v>
      </c>
      <c r="H256" s="47">
        <f>H257+H269+H278+H281+H284+H286+H289+H292+H306+H310+H315+H320+H322</f>
        <v>70285.930523987816</v>
      </c>
      <c r="I256" s="47">
        <f>I257+I269+I278+I281+I284+I286+I289+I292+I306+I310+I315+I320+I322</f>
        <v>164920.6069760122</v>
      </c>
      <c r="J256" s="47">
        <f>H256+I256</f>
        <v>235206.53750000003</v>
      </c>
      <c r="K256" s="35"/>
      <c r="L256" s="47">
        <f>L257+L269+L278+L281+L284+L286+L289+L292+L306+L310+L315+L320+L322</f>
        <v>13.68499707</v>
      </c>
      <c r="M256" s="35"/>
    </row>
    <row r="257" spans="1:48">
      <c r="A257" s="4"/>
      <c r="B257" s="14" t="s">
        <v>199</v>
      </c>
      <c r="C257" s="14" t="s">
        <v>37</v>
      </c>
      <c r="D257" s="83" t="s">
        <v>543</v>
      </c>
      <c r="E257" s="4" t="s">
        <v>6</v>
      </c>
      <c r="F257" s="4" t="s">
        <v>6</v>
      </c>
      <c r="G257" s="24" t="s">
        <v>6</v>
      </c>
      <c r="H257" s="46">
        <f>SUM(H258:H268)</f>
        <v>14545.883427614581</v>
      </c>
      <c r="I257" s="46">
        <f>SUM(I258:I268)</f>
        <v>8619.2535723854198</v>
      </c>
      <c r="J257" s="46">
        <f>H257+I257</f>
        <v>23165.137000000002</v>
      </c>
      <c r="K257" s="34"/>
      <c r="L257" s="46">
        <f>SUM(L258:L268)</f>
        <v>1.2826951499999999</v>
      </c>
      <c r="M257" s="34"/>
      <c r="Y257" s="34" t="s">
        <v>199</v>
      </c>
      <c r="AI257" s="46">
        <f>SUM(Z258:Z268)</f>
        <v>0</v>
      </c>
      <c r="AJ257" s="46">
        <f>SUM(AA258:AA268)</f>
        <v>0</v>
      </c>
      <c r="AK257" s="46">
        <f>SUM(AB258:AB268)</f>
        <v>23165.137000000002</v>
      </c>
    </row>
    <row r="258" spans="1:48">
      <c r="A258" s="5" t="s">
        <v>139</v>
      </c>
      <c r="B258" s="5" t="s">
        <v>199</v>
      </c>
      <c r="C258" s="5" t="s">
        <v>314</v>
      </c>
      <c r="D258" s="84" t="s">
        <v>544</v>
      </c>
      <c r="E258" s="5" t="s">
        <v>621</v>
      </c>
      <c r="F258" s="76">
        <v>7.0000000000000007E-2</v>
      </c>
      <c r="G258" s="25">
        <v>65000</v>
      </c>
      <c r="H258" s="18">
        <f>F258*AE258</f>
        <v>3196.5617021276626</v>
      </c>
      <c r="I258" s="18">
        <f>J258-H258</f>
        <v>1353.4382978723374</v>
      </c>
      <c r="J258" s="18">
        <f>F258*G258</f>
        <v>4550</v>
      </c>
      <c r="K258" s="18">
        <v>1.0970899999999999</v>
      </c>
      <c r="L258" s="18">
        <f>F258*K258</f>
        <v>7.6796299999999998E-2</v>
      </c>
      <c r="M258" s="38" t="s">
        <v>643</v>
      </c>
      <c r="P258" s="43">
        <f>IF(AG258="5",J258,0)</f>
        <v>0</v>
      </c>
      <c r="R258" s="43">
        <f>IF(AG258="1",H258,0)</f>
        <v>3196.5617021276626</v>
      </c>
      <c r="S258" s="43">
        <f>IF(AG258="1",I258,0)</f>
        <v>1353.4382978723374</v>
      </c>
      <c r="T258" s="43">
        <f>IF(AG258="7",H258,0)</f>
        <v>0</v>
      </c>
      <c r="U258" s="43">
        <f>IF(AG258="7",I258,0)</f>
        <v>0</v>
      </c>
      <c r="V258" s="43">
        <f>IF(AG258="2",H258,0)</f>
        <v>0</v>
      </c>
      <c r="W258" s="43">
        <f>IF(AG258="2",I258,0)</f>
        <v>0</v>
      </c>
      <c r="X258" s="43">
        <f>IF(AG258="0",J258,0)</f>
        <v>0</v>
      </c>
      <c r="Y258" s="34" t="s">
        <v>199</v>
      </c>
      <c r="Z258" s="18">
        <f>IF(AD258=0,J258,0)</f>
        <v>0</v>
      </c>
      <c r="AA258" s="18">
        <f>IF(AD258=15,J258,0)</f>
        <v>0</v>
      </c>
      <c r="AB258" s="18">
        <f>IF(AD258=21,J258,0)</f>
        <v>4550</v>
      </c>
      <c r="AD258" s="43">
        <v>21</v>
      </c>
      <c r="AE258" s="43">
        <f>G258*0.702541033434651</f>
        <v>45665.167173252317</v>
      </c>
      <c r="AF258" s="43">
        <f>G258*(1-0.702541033434651)</f>
        <v>19334.832826747683</v>
      </c>
      <c r="AG258" s="38" t="s">
        <v>7</v>
      </c>
      <c r="AM258" s="43">
        <f>F258*AE258</f>
        <v>3196.5617021276626</v>
      </c>
      <c r="AN258" s="43">
        <f>F258*AF258</f>
        <v>1353.4382978723379</v>
      </c>
      <c r="AO258" s="44" t="s">
        <v>673</v>
      </c>
      <c r="AP258" s="44" t="s">
        <v>699</v>
      </c>
      <c r="AQ258" s="34" t="s">
        <v>715</v>
      </c>
      <c r="AS258" s="43">
        <f>AM258+AN258</f>
        <v>4550</v>
      </c>
      <c r="AT258" s="43">
        <f>G258/(100-AU258)*100</f>
        <v>65000</v>
      </c>
      <c r="AU258" s="43">
        <v>0</v>
      </c>
      <c r="AV258" s="43">
        <f>L258</f>
        <v>7.6796299999999998E-2</v>
      </c>
    </row>
    <row r="259" spans="1:48">
      <c r="D259" s="85" t="s">
        <v>545</v>
      </c>
      <c r="F259" s="77">
        <v>7.0000000000000007E-2</v>
      </c>
      <c r="G259" s="26"/>
    </row>
    <row r="260" spans="1:48">
      <c r="A260" s="5" t="s">
        <v>140</v>
      </c>
      <c r="B260" s="5" t="s">
        <v>199</v>
      </c>
      <c r="C260" s="5" t="s">
        <v>315</v>
      </c>
      <c r="D260" s="84" t="s">
        <v>546</v>
      </c>
      <c r="E260" s="5" t="s">
        <v>621</v>
      </c>
      <c r="F260" s="76">
        <v>0.216</v>
      </c>
      <c r="G260" s="25">
        <v>65000</v>
      </c>
      <c r="H260" s="18">
        <f>F260*AE260</f>
        <v>9913.8421621621583</v>
      </c>
      <c r="I260" s="18">
        <f>J260-H260</f>
        <v>4126.1578378378417</v>
      </c>
      <c r="J260" s="18">
        <f>F260*G260</f>
        <v>14040</v>
      </c>
      <c r="K260" s="18">
        <v>1.0970899999999999</v>
      </c>
      <c r="L260" s="18">
        <f>F260*K260</f>
        <v>0.23697143999999998</v>
      </c>
      <c r="M260" s="38" t="s">
        <v>643</v>
      </c>
      <c r="P260" s="43">
        <f>IF(AG260="5",J260,0)</f>
        <v>0</v>
      </c>
      <c r="R260" s="43">
        <f>IF(AG260="1",H260,0)</f>
        <v>9913.8421621621583</v>
      </c>
      <c r="S260" s="43">
        <f>IF(AG260="1",I260,0)</f>
        <v>4126.1578378378417</v>
      </c>
      <c r="T260" s="43">
        <f>IF(AG260="7",H260,0)</f>
        <v>0</v>
      </c>
      <c r="U260" s="43">
        <f>IF(AG260="7",I260,0)</f>
        <v>0</v>
      </c>
      <c r="V260" s="43">
        <f>IF(AG260="2",H260,0)</f>
        <v>0</v>
      </c>
      <c r="W260" s="43">
        <f>IF(AG260="2",I260,0)</f>
        <v>0</v>
      </c>
      <c r="X260" s="43">
        <f>IF(AG260="0",J260,0)</f>
        <v>0</v>
      </c>
      <c r="Y260" s="34" t="s">
        <v>199</v>
      </c>
      <c r="Z260" s="18">
        <f>IF(AD260=0,J260,0)</f>
        <v>0</v>
      </c>
      <c r="AA260" s="18">
        <f>IF(AD260=15,J260,0)</f>
        <v>0</v>
      </c>
      <c r="AB260" s="18">
        <f>IF(AD260=21,J260,0)</f>
        <v>14040</v>
      </c>
      <c r="AD260" s="43">
        <v>21</v>
      </c>
      <c r="AE260" s="43">
        <f>G260*0.706114114114114</f>
        <v>45897.417417417404</v>
      </c>
      <c r="AF260" s="43">
        <f>G260*(1-0.706114114114114)</f>
        <v>19102.582582582592</v>
      </c>
      <c r="AG260" s="38" t="s">
        <v>7</v>
      </c>
      <c r="AM260" s="43">
        <f>F260*AE260</f>
        <v>9913.8421621621583</v>
      </c>
      <c r="AN260" s="43">
        <f>F260*AF260</f>
        <v>4126.1578378378399</v>
      </c>
      <c r="AO260" s="44" t="s">
        <v>673</v>
      </c>
      <c r="AP260" s="44" t="s">
        <v>699</v>
      </c>
      <c r="AQ260" s="34" t="s">
        <v>715</v>
      </c>
      <c r="AS260" s="43">
        <f>AM260+AN260</f>
        <v>14039.999999999998</v>
      </c>
      <c r="AT260" s="43">
        <f>G260/(100-AU260)*100</f>
        <v>65000</v>
      </c>
      <c r="AU260" s="43">
        <v>0</v>
      </c>
      <c r="AV260" s="43">
        <f>L260</f>
        <v>0.23697143999999998</v>
      </c>
    </row>
    <row r="261" spans="1:48">
      <c r="D261" s="85" t="s">
        <v>547</v>
      </c>
      <c r="F261" s="77">
        <v>0.216</v>
      </c>
      <c r="G261" s="26"/>
    </row>
    <row r="262" spans="1:48">
      <c r="A262" s="5" t="s">
        <v>141</v>
      </c>
      <c r="B262" s="5" t="s">
        <v>199</v>
      </c>
      <c r="C262" s="5" t="s">
        <v>316</v>
      </c>
      <c r="D262" s="84" t="s">
        <v>548</v>
      </c>
      <c r="E262" s="5" t="s">
        <v>624</v>
      </c>
      <c r="F262" s="76">
        <v>0.36899999999999999</v>
      </c>
      <c r="G262" s="25">
        <v>2945</v>
      </c>
      <c r="H262" s="18">
        <f>F262*AE262</f>
        <v>865.82017957486926</v>
      </c>
      <c r="I262" s="18">
        <f>J262-H262</f>
        <v>220.88482042513067</v>
      </c>
      <c r="J262" s="18">
        <f>F262*G262</f>
        <v>1086.7049999999999</v>
      </c>
      <c r="K262" s="18">
        <v>2.52501</v>
      </c>
      <c r="L262" s="18">
        <f>F262*K262</f>
        <v>0.93172869000000003</v>
      </c>
      <c r="M262" s="38" t="s">
        <v>643</v>
      </c>
      <c r="P262" s="43">
        <f>IF(AG262="5",J262,0)</f>
        <v>0</v>
      </c>
      <c r="R262" s="43">
        <f>IF(AG262="1",H262,0)</f>
        <v>865.82017957486926</v>
      </c>
      <c r="S262" s="43">
        <f>IF(AG262="1",I262,0)</f>
        <v>220.88482042513067</v>
      </c>
      <c r="T262" s="43">
        <f>IF(AG262="7",H262,0)</f>
        <v>0</v>
      </c>
      <c r="U262" s="43">
        <f>IF(AG262="7",I262,0)</f>
        <v>0</v>
      </c>
      <c r="V262" s="43">
        <f>IF(AG262="2",H262,0)</f>
        <v>0</v>
      </c>
      <c r="W262" s="43">
        <f>IF(AG262="2",I262,0)</f>
        <v>0</v>
      </c>
      <c r="X262" s="43">
        <f>IF(AG262="0",J262,0)</f>
        <v>0</v>
      </c>
      <c r="Y262" s="34" t="s">
        <v>199</v>
      </c>
      <c r="Z262" s="18">
        <f>IF(AD262=0,J262,0)</f>
        <v>0</v>
      </c>
      <c r="AA262" s="18">
        <f>IF(AD262=15,J262,0)</f>
        <v>0</v>
      </c>
      <c r="AB262" s="18">
        <f>IF(AD262=21,J262,0)</f>
        <v>1086.7049999999999</v>
      </c>
      <c r="AD262" s="43">
        <v>21</v>
      </c>
      <c r="AE262" s="43">
        <f>G262*0.79673893059742</f>
        <v>2346.396150609402</v>
      </c>
      <c r="AF262" s="43">
        <f>G262*(1-0.79673893059742)</f>
        <v>598.60384939059827</v>
      </c>
      <c r="AG262" s="38" t="s">
        <v>7</v>
      </c>
      <c r="AM262" s="43">
        <f>F262*AE262</f>
        <v>865.82017957486926</v>
      </c>
      <c r="AN262" s="43">
        <f>F262*AF262</f>
        <v>220.88482042513075</v>
      </c>
      <c r="AO262" s="44" t="s">
        <v>673</v>
      </c>
      <c r="AP262" s="44" t="s">
        <v>699</v>
      </c>
      <c r="AQ262" s="34" t="s">
        <v>715</v>
      </c>
      <c r="AS262" s="43">
        <f>AM262+AN262</f>
        <v>1086.7049999999999</v>
      </c>
      <c r="AT262" s="43">
        <f>G262/(100-AU262)*100</f>
        <v>2945</v>
      </c>
      <c r="AU262" s="43">
        <v>0</v>
      </c>
      <c r="AV262" s="43">
        <f>L262</f>
        <v>0.93172869000000003</v>
      </c>
    </row>
    <row r="263" spans="1:48">
      <c r="D263" s="85" t="s">
        <v>549</v>
      </c>
      <c r="F263" s="77">
        <v>0.27500000000000002</v>
      </c>
      <c r="G263" s="26"/>
    </row>
    <row r="264" spans="1:48">
      <c r="D264" s="85" t="s">
        <v>550</v>
      </c>
      <c r="F264" s="77">
        <v>9.4E-2</v>
      </c>
      <c r="G264" s="26"/>
    </row>
    <row r="265" spans="1:48">
      <c r="A265" s="5" t="s">
        <v>142</v>
      </c>
      <c r="B265" s="5" t="s">
        <v>199</v>
      </c>
      <c r="C265" s="5" t="s">
        <v>317</v>
      </c>
      <c r="D265" s="84" t="s">
        <v>551</v>
      </c>
      <c r="E265" s="5" t="s">
        <v>620</v>
      </c>
      <c r="F265" s="76">
        <v>4.2080000000000002</v>
      </c>
      <c r="G265" s="25">
        <v>640</v>
      </c>
      <c r="H265" s="18">
        <f>F265*AE265</f>
        <v>569.65938374988923</v>
      </c>
      <c r="I265" s="18">
        <f>J265-H265</f>
        <v>2123.4606162501104</v>
      </c>
      <c r="J265" s="18">
        <f>F265*G265</f>
        <v>2693.12</v>
      </c>
      <c r="K265" s="18">
        <v>8.8400000000000006E-3</v>
      </c>
      <c r="L265" s="18">
        <f>F265*K265</f>
        <v>3.7198720000000005E-2</v>
      </c>
      <c r="M265" s="38" t="s">
        <v>643</v>
      </c>
      <c r="P265" s="43">
        <f>IF(AG265="5",J265,0)</f>
        <v>0</v>
      </c>
      <c r="R265" s="43">
        <f>IF(AG265="1",H265,0)</f>
        <v>569.65938374988923</v>
      </c>
      <c r="S265" s="43">
        <f>IF(AG265="1",I265,0)</f>
        <v>2123.4606162501104</v>
      </c>
      <c r="T265" s="43">
        <f>IF(AG265="7",H265,0)</f>
        <v>0</v>
      </c>
      <c r="U265" s="43">
        <f>IF(AG265="7",I265,0)</f>
        <v>0</v>
      </c>
      <c r="V265" s="43">
        <f>IF(AG265="2",H265,0)</f>
        <v>0</v>
      </c>
      <c r="W265" s="43">
        <f>IF(AG265="2",I265,0)</f>
        <v>0</v>
      </c>
      <c r="X265" s="43">
        <f>IF(AG265="0",J265,0)</f>
        <v>0</v>
      </c>
      <c r="Y265" s="34" t="s">
        <v>199</v>
      </c>
      <c r="Z265" s="18">
        <f>IF(AD265=0,J265,0)</f>
        <v>0</v>
      </c>
      <c r="AA265" s="18">
        <f>IF(AD265=15,J265,0)</f>
        <v>0</v>
      </c>
      <c r="AB265" s="18">
        <f>IF(AD265=21,J265,0)</f>
        <v>2693.12</v>
      </c>
      <c r="AD265" s="43">
        <v>21</v>
      </c>
      <c r="AE265" s="43">
        <f>G265*0.211523951309221</f>
        <v>135.37532883790144</v>
      </c>
      <c r="AF265" s="43">
        <f>G265*(1-0.211523951309221)</f>
        <v>504.62467116209859</v>
      </c>
      <c r="AG265" s="38" t="s">
        <v>7</v>
      </c>
      <c r="AM265" s="43">
        <f>F265*AE265</f>
        <v>569.65938374988923</v>
      </c>
      <c r="AN265" s="43">
        <f>F265*AF265</f>
        <v>2123.4606162501109</v>
      </c>
      <c r="AO265" s="44" t="s">
        <v>673</v>
      </c>
      <c r="AP265" s="44" t="s">
        <v>699</v>
      </c>
      <c r="AQ265" s="34" t="s">
        <v>715</v>
      </c>
      <c r="AS265" s="43">
        <f>AM265+AN265</f>
        <v>2693.12</v>
      </c>
      <c r="AT265" s="43">
        <f>G265/(100-AU265)*100</f>
        <v>640</v>
      </c>
      <c r="AU265" s="43">
        <v>0</v>
      </c>
      <c r="AV265" s="43">
        <f>L265</f>
        <v>3.7198720000000005E-2</v>
      </c>
    </row>
    <row r="266" spans="1:48">
      <c r="D266" s="85" t="s">
        <v>552</v>
      </c>
      <c r="F266" s="77">
        <v>3.069</v>
      </c>
      <c r="G266" s="26"/>
    </row>
    <row r="267" spans="1:48">
      <c r="D267" s="85" t="s">
        <v>553</v>
      </c>
      <c r="F267" s="77">
        <v>1.139</v>
      </c>
      <c r="G267" s="26"/>
    </row>
    <row r="268" spans="1:48">
      <c r="A268" s="5" t="s">
        <v>143</v>
      </c>
      <c r="B268" s="5" t="s">
        <v>199</v>
      </c>
      <c r="C268" s="5" t="s">
        <v>318</v>
      </c>
      <c r="D268" s="84" t="s">
        <v>554</v>
      </c>
      <c r="E268" s="5" t="s">
        <v>620</v>
      </c>
      <c r="F268" s="76">
        <v>4.2080000000000002</v>
      </c>
      <c r="G268" s="25">
        <v>189</v>
      </c>
      <c r="H268" s="18">
        <f>F268*AE268</f>
        <v>0</v>
      </c>
      <c r="I268" s="18">
        <f>J268-H268</f>
        <v>795.31200000000001</v>
      </c>
      <c r="J268" s="18">
        <f>F268*G268</f>
        <v>795.31200000000001</v>
      </c>
      <c r="K268" s="18">
        <v>0</v>
      </c>
      <c r="L268" s="18">
        <f>F268*K268</f>
        <v>0</v>
      </c>
      <c r="M268" s="38" t="s">
        <v>643</v>
      </c>
      <c r="P268" s="43">
        <f>IF(AG268="5",J268,0)</f>
        <v>0</v>
      </c>
      <c r="R268" s="43">
        <f>IF(AG268="1",H268,0)</f>
        <v>0</v>
      </c>
      <c r="S268" s="43">
        <f>IF(AG268="1",I268,0)</f>
        <v>795.31200000000001</v>
      </c>
      <c r="T268" s="43">
        <f>IF(AG268="7",H268,0)</f>
        <v>0</v>
      </c>
      <c r="U268" s="43">
        <f>IF(AG268="7",I268,0)</f>
        <v>0</v>
      </c>
      <c r="V268" s="43">
        <f>IF(AG268="2",H268,0)</f>
        <v>0</v>
      </c>
      <c r="W268" s="43">
        <f>IF(AG268="2",I268,0)</f>
        <v>0</v>
      </c>
      <c r="X268" s="43">
        <f>IF(AG268="0",J268,0)</f>
        <v>0</v>
      </c>
      <c r="Y268" s="34" t="s">
        <v>199</v>
      </c>
      <c r="Z268" s="18">
        <f>IF(AD268=0,J268,0)</f>
        <v>0</v>
      </c>
      <c r="AA268" s="18">
        <f>IF(AD268=15,J268,0)</f>
        <v>0</v>
      </c>
      <c r="AB268" s="18">
        <f>IF(AD268=21,J268,0)</f>
        <v>795.31200000000001</v>
      </c>
      <c r="AD268" s="43">
        <v>21</v>
      </c>
      <c r="AE268" s="43">
        <f>G268*0</f>
        <v>0</v>
      </c>
      <c r="AF268" s="43">
        <f>G268*(1-0)</f>
        <v>189</v>
      </c>
      <c r="AG268" s="38" t="s">
        <v>7</v>
      </c>
      <c r="AM268" s="43">
        <f>F268*AE268</f>
        <v>0</v>
      </c>
      <c r="AN268" s="43">
        <f>F268*AF268</f>
        <v>795.31200000000001</v>
      </c>
      <c r="AO268" s="44" t="s">
        <v>673</v>
      </c>
      <c r="AP268" s="44" t="s">
        <v>699</v>
      </c>
      <c r="AQ268" s="34" t="s">
        <v>715</v>
      </c>
      <c r="AS268" s="43">
        <f>AM268+AN268</f>
        <v>795.31200000000001</v>
      </c>
      <c r="AT268" s="43">
        <f>G268/(100-AU268)*100</f>
        <v>189</v>
      </c>
      <c r="AU268" s="43">
        <v>0</v>
      </c>
      <c r="AV268" s="43">
        <f>L268</f>
        <v>0</v>
      </c>
    </row>
    <row r="269" spans="1:48">
      <c r="A269" s="4"/>
      <c r="B269" s="14" t="s">
        <v>199</v>
      </c>
      <c r="C269" s="14" t="s">
        <v>67</v>
      </c>
      <c r="D269" s="83" t="s">
        <v>389</v>
      </c>
      <c r="E269" s="4" t="s">
        <v>6</v>
      </c>
      <c r="F269" s="4" t="s">
        <v>6</v>
      </c>
      <c r="G269" s="24" t="s">
        <v>6</v>
      </c>
      <c r="H269" s="46">
        <f>SUM(H270:H277)</f>
        <v>1022.0019257002911</v>
      </c>
      <c r="I269" s="46">
        <f>SUM(I270:I277)</f>
        <v>4865.2790742997095</v>
      </c>
      <c r="J269" s="46">
        <f>H269+I269</f>
        <v>5887.2810000000009</v>
      </c>
      <c r="K269" s="34"/>
      <c r="L269" s="46">
        <f>SUM(L270:L277)</f>
        <v>0.93735410000000008</v>
      </c>
      <c r="M269" s="34"/>
      <c r="Y269" s="34" t="s">
        <v>199</v>
      </c>
      <c r="AI269" s="46">
        <f>SUM(Z270:Z277)</f>
        <v>0</v>
      </c>
      <c r="AJ269" s="46">
        <f>SUM(AA270:AA277)</f>
        <v>0</v>
      </c>
      <c r="AK269" s="46">
        <f>SUM(AB270:AB277)</f>
        <v>5887.2810000000009</v>
      </c>
    </row>
    <row r="270" spans="1:48">
      <c r="A270" s="5" t="s">
        <v>144</v>
      </c>
      <c r="B270" s="5" t="s">
        <v>199</v>
      </c>
      <c r="C270" s="5" t="s">
        <v>319</v>
      </c>
      <c r="D270" s="84" t="s">
        <v>555</v>
      </c>
      <c r="E270" s="5" t="s">
        <v>620</v>
      </c>
      <c r="F270" s="76">
        <v>11.246</v>
      </c>
      <c r="G270" s="25">
        <v>222.5</v>
      </c>
      <c r="H270" s="18">
        <f>F270*AE270</f>
        <v>440.19714445029103</v>
      </c>
      <c r="I270" s="18">
        <f>J270-H270</f>
        <v>2062.0378555497091</v>
      </c>
      <c r="J270" s="18">
        <f>F270*G270</f>
        <v>2502.2350000000001</v>
      </c>
      <c r="K270" s="18">
        <v>3.9210000000000002E-2</v>
      </c>
      <c r="L270" s="18">
        <f>F270*K270</f>
        <v>0.44095566000000003</v>
      </c>
      <c r="M270" s="38" t="s">
        <v>643</v>
      </c>
      <c r="P270" s="43">
        <f>IF(AG270="5",J270,0)</f>
        <v>0</v>
      </c>
      <c r="R270" s="43">
        <f>IF(AG270="1",H270,0)</f>
        <v>440.19714445029103</v>
      </c>
      <c r="S270" s="43">
        <f>IF(AG270="1",I270,0)</f>
        <v>2062.0378555497091</v>
      </c>
      <c r="T270" s="43">
        <f>IF(AG270="7",H270,0)</f>
        <v>0</v>
      </c>
      <c r="U270" s="43">
        <f>IF(AG270="7",I270,0)</f>
        <v>0</v>
      </c>
      <c r="V270" s="43">
        <f>IF(AG270="2",H270,0)</f>
        <v>0</v>
      </c>
      <c r="W270" s="43">
        <f>IF(AG270="2",I270,0)</f>
        <v>0</v>
      </c>
      <c r="X270" s="43">
        <f>IF(AG270="0",J270,0)</f>
        <v>0</v>
      </c>
      <c r="Y270" s="34" t="s">
        <v>199</v>
      </c>
      <c r="Z270" s="18">
        <f>IF(AD270=0,J270,0)</f>
        <v>0</v>
      </c>
      <c r="AA270" s="18">
        <f>IF(AD270=15,J270,0)</f>
        <v>0</v>
      </c>
      <c r="AB270" s="18">
        <f>IF(AD270=21,J270,0)</f>
        <v>2502.2350000000001</v>
      </c>
      <c r="AD270" s="43">
        <v>21</v>
      </c>
      <c r="AE270" s="43">
        <f>G270*0.175921583884124</f>
        <v>39.14255241421759</v>
      </c>
      <c r="AF270" s="43">
        <f>G270*(1-0.175921583884124)</f>
        <v>183.35744758578244</v>
      </c>
      <c r="AG270" s="38" t="s">
        <v>7</v>
      </c>
      <c r="AM270" s="43">
        <f>F270*AE270</f>
        <v>440.19714445029103</v>
      </c>
      <c r="AN270" s="43">
        <f>F270*AF270</f>
        <v>2062.0378555497095</v>
      </c>
      <c r="AO270" s="44" t="s">
        <v>663</v>
      </c>
      <c r="AP270" s="44" t="s">
        <v>700</v>
      </c>
      <c r="AQ270" s="34" t="s">
        <v>715</v>
      </c>
      <c r="AS270" s="43">
        <f>AM270+AN270</f>
        <v>2502.2350000000006</v>
      </c>
      <c r="AT270" s="43">
        <f>G270/(100-AU270)*100</f>
        <v>222.5</v>
      </c>
      <c r="AU270" s="43">
        <v>0</v>
      </c>
      <c r="AV270" s="43">
        <f>L270</f>
        <v>0.44095566000000003</v>
      </c>
    </row>
    <row r="271" spans="1:48">
      <c r="D271" s="85" t="s">
        <v>556</v>
      </c>
      <c r="F271" s="77">
        <v>0.6</v>
      </c>
      <c r="G271" s="26"/>
    </row>
    <row r="272" spans="1:48">
      <c r="D272" s="85" t="s">
        <v>557</v>
      </c>
      <c r="F272" s="77">
        <v>1.375</v>
      </c>
      <c r="G272" s="26"/>
    </row>
    <row r="273" spans="1:48">
      <c r="D273" s="85" t="s">
        <v>558</v>
      </c>
      <c r="F273" s="77">
        <v>2.5</v>
      </c>
      <c r="G273" s="26"/>
    </row>
    <row r="274" spans="1:48">
      <c r="D274" s="85" t="s">
        <v>559</v>
      </c>
      <c r="F274" s="77">
        <v>3.69</v>
      </c>
      <c r="G274" s="26"/>
    </row>
    <row r="275" spans="1:48">
      <c r="D275" s="85" t="s">
        <v>560</v>
      </c>
      <c r="F275" s="77">
        <v>2.2149999999999999</v>
      </c>
      <c r="G275" s="26"/>
    </row>
    <row r="276" spans="1:48">
      <c r="D276" s="85" t="s">
        <v>561</v>
      </c>
      <c r="F276" s="77">
        <v>0.86599999999999999</v>
      </c>
      <c r="G276" s="26"/>
    </row>
    <row r="277" spans="1:48">
      <c r="A277" s="5" t="s">
        <v>145</v>
      </c>
      <c r="B277" s="5" t="s">
        <v>199</v>
      </c>
      <c r="C277" s="5" t="s">
        <v>320</v>
      </c>
      <c r="D277" s="84" t="s">
        <v>562</v>
      </c>
      <c r="E277" s="5" t="s">
        <v>620</v>
      </c>
      <c r="F277" s="76">
        <v>11.246</v>
      </c>
      <c r="G277" s="25">
        <v>301</v>
      </c>
      <c r="H277" s="18">
        <f>F277*AE277</f>
        <v>581.80478125000002</v>
      </c>
      <c r="I277" s="18">
        <f>J277-H277</f>
        <v>2803.2412187500004</v>
      </c>
      <c r="J277" s="18">
        <f>F277*G277</f>
        <v>3385.0460000000003</v>
      </c>
      <c r="K277" s="18">
        <v>4.4139999999999999E-2</v>
      </c>
      <c r="L277" s="18">
        <f>F277*K277</f>
        <v>0.49639844</v>
      </c>
      <c r="M277" s="38" t="s">
        <v>643</v>
      </c>
      <c r="P277" s="43">
        <f>IF(AG277="5",J277,0)</f>
        <v>0</v>
      </c>
      <c r="R277" s="43">
        <f>IF(AG277="1",H277,0)</f>
        <v>581.80478125000002</v>
      </c>
      <c r="S277" s="43">
        <f>IF(AG277="1",I277,0)</f>
        <v>2803.2412187500004</v>
      </c>
      <c r="T277" s="43">
        <f>IF(AG277="7",H277,0)</f>
        <v>0</v>
      </c>
      <c r="U277" s="43">
        <f>IF(AG277="7",I277,0)</f>
        <v>0</v>
      </c>
      <c r="V277" s="43">
        <f>IF(AG277="2",H277,0)</f>
        <v>0</v>
      </c>
      <c r="W277" s="43">
        <f>IF(AG277="2",I277,0)</f>
        <v>0</v>
      </c>
      <c r="X277" s="43">
        <f>IF(AG277="0",J277,0)</f>
        <v>0</v>
      </c>
      <c r="Y277" s="34" t="s">
        <v>199</v>
      </c>
      <c r="Z277" s="18">
        <f>IF(AD277=0,J277,0)</f>
        <v>0</v>
      </c>
      <c r="AA277" s="18">
        <f>IF(AD277=15,J277,0)</f>
        <v>0</v>
      </c>
      <c r="AB277" s="18">
        <f>IF(AD277=21,J277,0)</f>
        <v>3385.0460000000003</v>
      </c>
      <c r="AD277" s="43">
        <v>21</v>
      </c>
      <c r="AE277" s="43">
        <f>G277*0.171875</f>
        <v>51.734375</v>
      </c>
      <c r="AF277" s="43">
        <f>G277*(1-0.171875)</f>
        <v>249.265625</v>
      </c>
      <c r="AG277" s="38" t="s">
        <v>7</v>
      </c>
      <c r="AM277" s="43">
        <f>F277*AE277</f>
        <v>581.80478125000002</v>
      </c>
      <c r="AN277" s="43">
        <f>F277*AF277</f>
        <v>2803.2412187499999</v>
      </c>
      <c r="AO277" s="44" t="s">
        <v>663</v>
      </c>
      <c r="AP277" s="44" t="s">
        <v>700</v>
      </c>
      <c r="AQ277" s="34" t="s">
        <v>715</v>
      </c>
      <c r="AS277" s="43">
        <f>AM277+AN277</f>
        <v>3385.0459999999998</v>
      </c>
      <c r="AT277" s="43">
        <f>G277/(100-AU277)*100</f>
        <v>301</v>
      </c>
      <c r="AU277" s="43">
        <v>0</v>
      </c>
      <c r="AV277" s="43">
        <f>L277</f>
        <v>0.49639844</v>
      </c>
    </row>
    <row r="278" spans="1:48">
      <c r="A278" s="4"/>
      <c r="B278" s="14" t="s">
        <v>199</v>
      </c>
      <c r="C278" s="14" t="s">
        <v>69</v>
      </c>
      <c r="D278" s="83" t="s">
        <v>439</v>
      </c>
      <c r="E278" s="4" t="s">
        <v>6</v>
      </c>
      <c r="F278" s="4" t="s">
        <v>6</v>
      </c>
      <c r="G278" s="24" t="s">
        <v>6</v>
      </c>
      <c r="H278" s="46">
        <f>SUM(H279:H279)</f>
        <v>896.50536585365921</v>
      </c>
      <c r="I278" s="46">
        <f>SUM(I279:I279)</f>
        <v>643.49463414634101</v>
      </c>
      <c r="J278" s="46">
        <f>H278+I278</f>
        <v>1540.0000000000002</v>
      </c>
      <c r="K278" s="34"/>
      <c r="L278" s="46">
        <f>SUM(L279:L279)</f>
        <v>0.14553000000000002</v>
      </c>
      <c r="M278" s="34"/>
      <c r="Y278" s="34" t="s">
        <v>199</v>
      </c>
      <c r="AI278" s="46">
        <f>SUM(Z279:Z279)</f>
        <v>0</v>
      </c>
      <c r="AJ278" s="46">
        <f>SUM(AA279:AA279)</f>
        <v>0</v>
      </c>
      <c r="AK278" s="46">
        <f>SUM(AB279:AB279)</f>
        <v>1540.0000000000002</v>
      </c>
    </row>
    <row r="279" spans="1:48">
      <c r="A279" s="5" t="s">
        <v>146</v>
      </c>
      <c r="B279" s="5" t="s">
        <v>199</v>
      </c>
      <c r="C279" s="5" t="s">
        <v>321</v>
      </c>
      <c r="D279" s="84" t="s">
        <v>563</v>
      </c>
      <c r="E279" s="5" t="s">
        <v>620</v>
      </c>
      <c r="F279" s="76">
        <v>2.2000000000000002</v>
      </c>
      <c r="G279" s="25">
        <v>700</v>
      </c>
      <c r="H279" s="18">
        <f>F279*AE279</f>
        <v>896.50536585365921</v>
      </c>
      <c r="I279" s="18">
        <f>J279-H279</f>
        <v>643.49463414634101</v>
      </c>
      <c r="J279" s="18">
        <f>F279*G279</f>
        <v>1540.0000000000002</v>
      </c>
      <c r="K279" s="18">
        <v>6.615E-2</v>
      </c>
      <c r="L279" s="18">
        <f>F279*K279</f>
        <v>0.14553000000000002</v>
      </c>
      <c r="M279" s="38" t="s">
        <v>643</v>
      </c>
      <c r="P279" s="43">
        <f>IF(AG279="5",J279,0)</f>
        <v>0</v>
      </c>
      <c r="R279" s="43">
        <f>IF(AG279="1",H279,0)</f>
        <v>896.50536585365921</v>
      </c>
      <c r="S279" s="43">
        <f>IF(AG279="1",I279,0)</f>
        <v>643.49463414634101</v>
      </c>
      <c r="T279" s="43">
        <f>IF(AG279="7",H279,0)</f>
        <v>0</v>
      </c>
      <c r="U279" s="43">
        <f>IF(AG279="7",I279,0)</f>
        <v>0</v>
      </c>
      <c r="V279" s="43">
        <f>IF(AG279="2",H279,0)</f>
        <v>0</v>
      </c>
      <c r="W279" s="43">
        <f>IF(AG279="2",I279,0)</f>
        <v>0</v>
      </c>
      <c r="X279" s="43">
        <f>IF(AG279="0",J279,0)</f>
        <v>0</v>
      </c>
      <c r="Y279" s="34" t="s">
        <v>199</v>
      </c>
      <c r="Z279" s="18">
        <f>IF(AD279=0,J279,0)</f>
        <v>0</v>
      </c>
      <c r="AA279" s="18">
        <f>IF(AD279=15,J279,0)</f>
        <v>0</v>
      </c>
      <c r="AB279" s="18">
        <f>IF(AD279=21,J279,0)</f>
        <v>1540.0000000000002</v>
      </c>
      <c r="AD279" s="43">
        <v>21</v>
      </c>
      <c r="AE279" s="43">
        <f>G279*0.582146341463415</f>
        <v>407.50243902439053</v>
      </c>
      <c r="AF279" s="43">
        <f>G279*(1-0.582146341463415)</f>
        <v>292.49756097560947</v>
      </c>
      <c r="AG279" s="38" t="s">
        <v>7</v>
      </c>
      <c r="AM279" s="43">
        <f>F279*AE279</f>
        <v>896.50536585365921</v>
      </c>
      <c r="AN279" s="43">
        <f>F279*AF279</f>
        <v>643.4946341463409</v>
      </c>
      <c r="AO279" s="44" t="s">
        <v>666</v>
      </c>
      <c r="AP279" s="44" t="s">
        <v>700</v>
      </c>
      <c r="AQ279" s="34" t="s">
        <v>715</v>
      </c>
      <c r="AS279" s="43">
        <f>AM279+AN279</f>
        <v>1540</v>
      </c>
      <c r="AT279" s="43">
        <f>G279/(100-AU279)*100</f>
        <v>700</v>
      </c>
      <c r="AU279" s="43">
        <v>0</v>
      </c>
      <c r="AV279" s="43">
        <f>L279</f>
        <v>0.14553000000000002</v>
      </c>
    </row>
    <row r="280" spans="1:48">
      <c r="D280" s="85" t="s">
        <v>564</v>
      </c>
      <c r="F280" s="77">
        <v>2.2000000000000002</v>
      </c>
      <c r="G280" s="26"/>
    </row>
    <row r="281" spans="1:48">
      <c r="A281" s="4"/>
      <c r="B281" s="14" t="s">
        <v>199</v>
      </c>
      <c r="C281" s="14" t="s">
        <v>70</v>
      </c>
      <c r="D281" s="83" t="s">
        <v>565</v>
      </c>
      <c r="E281" s="4" t="s">
        <v>6</v>
      </c>
      <c r="F281" s="4" t="s">
        <v>6</v>
      </c>
      <c r="G281" s="24" t="s">
        <v>6</v>
      </c>
      <c r="H281" s="46">
        <f>SUM(H282:H283)</f>
        <v>2075.8524946238399</v>
      </c>
      <c r="I281" s="46">
        <f>SUM(I282:I283)</f>
        <v>3450.1475053761601</v>
      </c>
      <c r="J281" s="46">
        <f>H281+I281</f>
        <v>5526</v>
      </c>
      <c r="K281" s="34"/>
      <c r="L281" s="46">
        <f>SUM(L282:L283)</f>
        <v>1.9767300000000001</v>
      </c>
      <c r="M281" s="34"/>
      <c r="Y281" s="34" t="s">
        <v>199</v>
      </c>
      <c r="AI281" s="46">
        <f>SUM(Z282:Z283)</f>
        <v>0</v>
      </c>
      <c r="AJ281" s="46">
        <f>SUM(AA282:AA283)</f>
        <v>0</v>
      </c>
      <c r="AK281" s="46">
        <f>SUM(AB282:AB283)</f>
        <v>5526</v>
      </c>
    </row>
    <row r="282" spans="1:48">
      <c r="A282" s="5" t="s">
        <v>147</v>
      </c>
      <c r="B282" s="5" t="s">
        <v>199</v>
      </c>
      <c r="C282" s="5" t="s">
        <v>322</v>
      </c>
      <c r="D282" s="84" t="s">
        <v>566</v>
      </c>
      <c r="E282" s="5" t="s">
        <v>622</v>
      </c>
      <c r="F282" s="76">
        <v>1</v>
      </c>
      <c r="G282" s="25">
        <v>4520</v>
      </c>
      <c r="H282" s="18">
        <f>F282*AE282</f>
        <v>1562.5191573527231</v>
      </c>
      <c r="I282" s="18">
        <f>J282-H282</f>
        <v>2957.4808426472769</v>
      </c>
      <c r="J282" s="18">
        <f>F282*G282</f>
        <v>4520</v>
      </c>
      <c r="K282" s="18">
        <v>1.91086</v>
      </c>
      <c r="L282" s="18">
        <f>F282*K282</f>
        <v>1.91086</v>
      </c>
      <c r="M282" s="38" t="s">
        <v>643</v>
      </c>
      <c r="P282" s="43">
        <f>IF(AG282="5",J282,0)</f>
        <v>0</v>
      </c>
      <c r="R282" s="43">
        <f>IF(AG282="1",H282,0)</f>
        <v>1562.5191573527231</v>
      </c>
      <c r="S282" s="43">
        <f>IF(AG282="1",I282,0)</f>
        <v>2957.4808426472769</v>
      </c>
      <c r="T282" s="43">
        <f>IF(AG282="7",H282,0)</f>
        <v>0</v>
      </c>
      <c r="U282" s="43">
        <f>IF(AG282="7",I282,0)</f>
        <v>0</v>
      </c>
      <c r="V282" s="43">
        <f>IF(AG282="2",H282,0)</f>
        <v>0</v>
      </c>
      <c r="W282" s="43">
        <f>IF(AG282="2",I282,0)</f>
        <v>0</v>
      </c>
      <c r="X282" s="43">
        <f>IF(AG282="0",J282,0)</f>
        <v>0</v>
      </c>
      <c r="Y282" s="34" t="s">
        <v>199</v>
      </c>
      <c r="Z282" s="18">
        <f>IF(AD282=0,J282,0)</f>
        <v>0</v>
      </c>
      <c r="AA282" s="18">
        <f>IF(AD282=15,J282,0)</f>
        <v>0</v>
      </c>
      <c r="AB282" s="18">
        <f>IF(AD282=21,J282,0)</f>
        <v>4520</v>
      </c>
      <c r="AD282" s="43">
        <v>21</v>
      </c>
      <c r="AE282" s="43">
        <f>G282*0.345690079060337</f>
        <v>1562.5191573527231</v>
      </c>
      <c r="AF282" s="43">
        <f>G282*(1-0.345690079060337)</f>
        <v>2957.4808426472769</v>
      </c>
      <c r="AG282" s="38" t="s">
        <v>7</v>
      </c>
      <c r="AM282" s="43">
        <f>F282*AE282</f>
        <v>1562.5191573527231</v>
      </c>
      <c r="AN282" s="43">
        <f>F282*AF282</f>
        <v>2957.4808426472769</v>
      </c>
      <c r="AO282" s="44" t="s">
        <v>674</v>
      </c>
      <c r="AP282" s="44" t="s">
        <v>700</v>
      </c>
      <c r="AQ282" s="34" t="s">
        <v>715</v>
      </c>
      <c r="AS282" s="43">
        <f>AM282+AN282</f>
        <v>4520</v>
      </c>
      <c r="AT282" s="43">
        <f>G282/(100-AU282)*100</f>
        <v>4520</v>
      </c>
      <c r="AU282" s="43">
        <v>0</v>
      </c>
      <c r="AV282" s="43">
        <f>L282</f>
        <v>1.91086</v>
      </c>
    </row>
    <row r="283" spans="1:48">
      <c r="A283" s="5" t="s">
        <v>148</v>
      </c>
      <c r="B283" s="5" t="s">
        <v>199</v>
      </c>
      <c r="C283" s="5" t="s">
        <v>323</v>
      </c>
      <c r="D283" s="84" t="s">
        <v>567</v>
      </c>
      <c r="E283" s="5" t="s">
        <v>622</v>
      </c>
      <c r="F283" s="76">
        <v>1</v>
      </c>
      <c r="G283" s="25">
        <v>1006</v>
      </c>
      <c r="H283" s="18">
        <f>F283*AE283</f>
        <v>513.33333727111665</v>
      </c>
      <c r="I283" s="18">
        <f>J283-H283</f>
        <v>492.66666272888335</v>
      </c>
      <c r="J283" s="18">
        <f>F283*G283</f>
        <v>1006</v>
      </c>
      <c r="K283" s="18">
        <v>6.5869999999999998E-2</v>
      </c>
      <c r="L283" s="18">
        <f>F283*K283</f>
        <v>6.5869999999999998E-2</v>
      </c>
      <c r="M283" s="38" t="s">
        <v>643</v>
      </c>
      <c r="P283" s="43">
        <f>IF(AG283="5",J283,0)</f>
        <v>0</v>
      </c>
      <c r="R283" s="43">
        <f>IF(AG283="1",H283,0)</f>
        <v>513.33333727111665</v>
      </c>
      <c r="S283" s="43">
        <f>IF(AG283="1",I283,0)</f>
        <v>492.66666272888335</v>
      </c>
      <c r="T283" s="43">
        <f>IF(AG283="7",H283,0)</f>
        <v>0</v>
      </c>
      <c r="U283" s="43">
        <f>IF(AG283="7",I283,0)</f>
        <v>0</v>
      </c>
      <c r="V283" s="43">
        <f>IF(AG283="2",H283,0)</f>
        <v>0</v>
      </c>
      <c r="W283" s="43">
        <f>IF(AG283="2",I283,0)</f>
        <v>0</v>
      </c>
      <c r="X283" s="43">
        <f>IF(AG283="0",J283,0)</f>
        <v>0</v>
      </c>
      <c r="Y283" s="34" t="s">
        <v>199</v>
      </c>
      <c r="Z283" s="18">
        <f>IF(AD283=0,J283,0)</f>
        <v>0</v>
      </c>
      <c r="AA283" s="18">
        <f>IF(AD283=15,J283,0)</f>
        <v>0</v>
      </c>
      <c r="AB283" s="18">
        <f>IF(AD283=21,J283,0)</f>
        <v>1006</v>
      </c>
      <c r="AD283" s="43">
        <v>21</v>
      </c>
      <c r="AE283" s="43">
        <f>G283*0.510271707028943</f>
        <v>513.33333727111665</v>
      </c>
      <c r="AF283" s="43">
        <f>G283*(1-0.510271707028943)</f>
        <v>492.66666272888335</v>
      </c>
      <c r="AG283" s="38" t="s">
        <v>7</v>
      </c>
      <c r="AM283" s="43">
        <f>F283*AE283</f>
        <v>513.33333727111665</v>
      </c>
      <c r="AN283" s="43">
        <f>F283*AF283</f>
        <v>492.66666272888335</v>
      </c>
      <c r="AO283" s="44" t="s">
        <v>674</v>
      </c>
      <c r="AP283" s="44" t="s">
        <v>700</v>
      </c>
      <c r="AQ283" s="34" t="s">
        <v>715</v>
      </c>
      <c r="AS283" s="43">
        <f>AM283+AN283</f>
        <v>1006</v>
      </c>
      <c r="AT283" s="43">
        <f>G283/(100-AU283)*100</f>
        <v>1006</v>
      </c>
      <c r="AU283" s="43">
        <v>0</v>
      </c>
      <c r="AV283" s="43">
        <f>L283</f>
        <v>6.5869999999999998E-2</v>
      </c>
    </row>
    <row r="284" spans="1:48">
      <c r="A284" s="4"/>
      <c r="B284" s="14" t="s">
        <v>199</v>
      </c>
      <c r="C284" s="14" t="s">
        <v>228</v>
      </c>
      <c r="D284" s="83" t="s">
        <v>392</v>
      </c>
      <c r="E284" s="4" t="s">
        <v>6</v>
      </c>
      <c r="F284" s="4" t="s">
        <v>6</v>
      </c>
      <c r="G284" s="24" t="s">
        <v>6</v>
      </c>
      <c r="H284" s="46">
        <f>SUM(H285:H285)</f>
        <v>0</v>
      </c>
      <c r="I284" s="46">
        <f>SUM(I285:I285)</f>
        <v>383</v>
      </c>
      <c r="J284" s="46">
        <f>H284+I284</f>
        <v>383</v>
      </c>
      <c r="K284" s="34"/>
      <c r="L284" s="46">
        <f>SUM(L285:L285)</f>
        <v>0.2208</v>
      </c>
      <c r="M284" s="34"/>
      <c r="Y284" s="34" t="s">
        <v>199</v>
      </c>
      <c r="AI284" s="46">
        <f>SUM(Z285:Z285)</f>
        <v>0</v>
      </c>
      <c r="AJ284" s="46">
        <f>SUM(AA285:AA285)</f>
        <v>0</v>
      </c>
      <c r="AK284" s="46">
        <f>SUM(AB285:AB285)</f>
        <v>383</v>
      </c>
    </row>
    <row r="285" spans="1:48">
      <c r="A285" s="5" t="s">
        <v>149</v>
      </c>
      <c r="B285" s="5" t="s">
        <v>199</v>
      </c>
      <c r="C285" s="5" t="s">
        <v>324</v>
      </c>
      <c r="D285" s="84" t="s">
        <v>568</v>
      </c>
      <c r="E285" s="5" t="s">
        <v>622</v>
      </c>
      <c r="F285" s="76">
        <v>2</v>
      </c>
      <c r="G285" s="25">
        <v>191.5</v>
      </c>
      <c r="H285" s="18">
        <f>F285*AE285</f>
        <v>0</v>
      </c>
      <c r="I285" s="18">
        <f>J285-H285</f>
        <v>383</v>
      </c>
      <c r="J285" s="18">
        <f>F285*G285</f>
        <v>383</v>
      </c>
      <c r="K285" s="18">
        <v>0.1104</v>
      </c>
      <c r="L285" s="18">
        <f>F285*K285</f>
        <v>0.2208</v>
      </c>
      <c r="M285" s="38" t="s">
        <v>643</v>
      </c>
      <c r="P285" s="43">
        <f>IF(AG285="5",J285,0)</f>
        <v>0</v>
      </c>
      <c r="R285" s="43">
        <f>IF(AG285="1",H285,0)</f>
        <v>0</v>
      </c>
      <c r="S285" s="43">
        <f>IF(AG285="1",I285,0)</f>
        <v>0</v>
      </c>
      <c r="T285" s="43">
        <f>IF(AG285="7",H285,0)</f>
        <v>0</v>
      </c>
      <c r="U285" s="43">
        <f>IF(AG285="7",I285,0)</f>
        <v>383</v>
      </c>
      <c r="V285" s="43">
        <f>IF(AG285="2",H285,0)</f>
        <v>0</v>
      </c>
      <c r="W285" s="43">
        <f>IF(AG285="2",I285,0)</f>
        <v>0</v>
      </c>
      <c r="X285" s="43">
        <f>IF(AG285="0",J285,0)</f>
        <v>0</v>
      </c>
      <c r="Y285" s="34" t="s">
        <v>199</v>
      </c>
      <c r="Z285" s="18">
        <f>IF(AD285=0,J285,0)</f>
        <v>0</v>
      </c>
      <c r="AA285" s="18">
        <f>IF(AD285=15,J285,0)</f>
        <v>0</v>
      </c>
      <c r="AB285" s="18">
        <f>IF(AD285=21,J285,0)</f>
        <v>383</v>
      </c>
      <c r="AD285" s="43">
        <v>21</v>
      </c>
      <c r="AE285" s="43">
        <f>G285*0</f>
        <v>0</v>
      </c>
      <c r="AF285" s="43">
        <f>G285*(1-0)</f>
        <v>191.5</v>
      </c>
      <c r="AG285" s="38" t="s">
        <v>13</v>
      </c>
      <c r="AM285" s="43">
        <f>F285*AE285</f>
        <v>0</v>
      </c>
      <c r="AN285" s="43">
        <f>F285*AF285</f>
        <v>383</v>
      </c>
      <c r="AO285" s="44" t="s">
        <v>664</v>
      </c>
      <c r="AP285" s="44" t="s">
        <v>701</v>
      </c>
      <c r="AQ285" s="34" t="s">
        <v>715</v>
      </c>
      <c r="AS285" s="43">
        <f>AM285+AN285</f>
        <v>383</v>
      </c>
      <c r="AT285" s="43">
        <f>G285/(100-AU285)*100</f>
        <v>191.5</v>
      </c>
      <c r="AU285" s="43">
        <v>0</v>
      </c>
      <c r="AV285" s="43">
        <f>L285</f>
        <v>0.2208</v>
      </c>
    </row>
    <row r="286" spans="1:48">
      <c r="A286" s="4"/>
      <c r="B286" s="14" t="s">
        <v>199</v>
      </c>
      <c r="C286" s="14" t="s">
        <v>325</v>
      </c>
      <c r="D286" s="83" t="s">
        <v>569</v>
      </c>
      <c r="E286" s="4" t="s">
        <v>6</v>
      </c>
      <c r="F286" s="4" t="s">
        <v>6</v>
      </c>
      <c r="G286" s="24" t="s">
        <v>6</v>
      </c>
      <c r="H286" s="46">
        <f>SUM(H287:H288)</f>
        <v>441.80983064516141</v>
      </c>
      <c r="I286" s="46">
        <f>SUM(I287:I288)</f>
        <v>51758.190169354843</v>
      </c>
      <c r="J286" s="46">
        <f>H286+I286</f>
        <v>52200.000000000007</v>
      </c>
      <c r="K286" s="34"/>
      <c r="L286" s="46">
        <f>SUM(L287:L288)</f>
        <v>6.0000000000000002E-5</v>
      </c>
      <c r="M286" s="34"/>
      <c r="Y286" s="34" t="s">
        <v>199</v>
      </c>
      <c r="AI286" s="46">
        <f>SUM(Z287:Z288)</f>
        <v>0</v>
      </c>
      <c r="AJ286" s="46">
        <f>SUM(AA287:AA288)</f>
        <v>0</v>
      </c>
      <c r="AK286" s="46">
        <f>SUM(AB287:AB288)</f>
        <v>52200</v>
      </c>
    </row>
    <row r="287" spans="1:48" ht="25.5">
      <c r="A287" s="5" t="s">
        <v>150</v>
      </c>
      <c r="B287" s="5" t="s">
        <v>199</v>
      </c>
      <c r="C287" s="5" t="s">
        <v>326</v>
      </c>
      <c r="D287" s="84" t="s">
        <v>570</v>
      </c>
      <c r="E287" s="5" t="s">
        <v>623</v>
      </c>
      <c r="F287" s="76">
        <v>1</v>
      </c>
      <c r="G287" s="25">
        <v>35000</v>
      </c>
      <c r="H287" s="18">
        <f>F287*AE287</f>
        <v>296.23125000000005</v>
      </c>
      <c r="I287" s="18">
        <f>J287-H287</f>
        <v>34703.768750000003</v>
      </c>
      <c r="J287" s="18">
        <f>F287*G287</f>
        <v>35000</v>
      </c>
      <c r="K287" s="18">
        <v>3.0000000000000001E-5</v>
      </c>
      <c r="L287" s="18">
        <f>F287*K287</f>
        <v>3.0000000000000001E-5</v>
      </c>
      <c r="M287" s="38" t="s">
        <v>643</v>
      </c>
      <c r="P287" s="43">
        <f>IF(AG287="5",J287,0)</f>
        <v>0</v>
      </c>
      <c r="R287" s="43">
        <f>IF(AG287="1",H287,0)</f>
        <v>0</v>
      </c>
      <c r="S287" s="43">
        <f>IF(AG287="1",I287,0)</f>
        <v>0</v>
      </c>
      <c r="T287" s="43">
        <f>IF(AG287="7",H287,0)</f>
        <v>296.23125000000005</v>
      </c>
      <c r="U287" s="43">
        <f>IF(AG287="7",I287,0)</f>
        <v>34703.768750000003</v>
      </c>
      <c r="V287" s="43">
        <f>IF(AG287="2",H287,0)</f>
        <v>0</v>
      </c>
      <c r="W287" s="43">
        <f>IF(AG287="2",I287,0)</f>
        <v>0</v>
      </c>
      <c r="X287" s="43">
        <f>IF(AG287="0",J287,0)</f>
        <v>0</v>
      </c>
      <c r="Y287" s="34" t="s">
        <v>199</v>
      </c>
      <c r="Z287" s="18">
        <f>IF(AD287=0,J287,0)</f>
        <v>0</v>
      </c>
      <c r="AA287" s="18">
        <f>IF(AD287=15,J287,0)</f>
        <v>0</v>
      </c>
      <c r="AB287" s="18">
        <f>IF(AD287=21,J287,0)</f>
        <v>35000</v>
      </c>
      <c r="AD287" s="43">
        <v>21</v>
      </c>
      <c r="AE287" s="43">
        <f>G287*0.00846375</f>
        <v>296.23125000000005</v>
      </c>
      <c r="AF287" s="43">
        <f>G287*(1-0.00846375)</f>
        <v>34703.768750000003</v>
      </c>
      <c r="AG287" s="38" t="s">
        <v>13</v>
      </c>
      <c r="AM287" s="43">
        <f>F287*AE287</f>
        <v>296.23125000000005</v>
      </c>
      <c r="AN287" s="43">
        <f>F287*AF287</f>
        <v>34703.768750000003</v>
      </c>
      <c r="AO287" s="44" t="s">
        <v>675</v>
      </c>
      <c r="AP287" s="44" t="s">
        <v>701</v>
      </c>
      <c r="AQ287" s="34" t="s">
        <v>715</v>
      </c>
      <c r="AS287" s="43">
        <f>AM287+AN287</f>
        <v>35000</v>
      </c>
      <c r="AT287" s="43">
        <f>G287/(100-AU287)*100</f>
        <v>35000</v>
      </c>
      <c r="AU287" s="43">
        <v>0</v>
      </c>
      <c r="AV287" s="43">
        <f>L287</f>
        <v>3.0000000000000001E-5</v>
      </c>
    </row>
    <row r="288" spans="1:48" ht="25.5">
      <c r="A288" s="5" t="s">
        <v>151</v>
      </c>
      <c r="B288" s="5" t="s">
        <v>199</v>
      </c>
      <c r="C288" s="5" t="s">
        <v>327</v>
      </c>
      <c r="D288" s="84" t="s">
        <v>571</v>
      </c>
      <c r="E288" s="5" t="s">
        <v>623</v>
      </c>
      <c r="F288" s="76">
        <v>1</v>
      </c>
      <c r="G288" s="25">
        <v>17200</v>
      </c>
      <c r="H288" s="18">
        <f>F288*AE288</f>
        <v>145.57858064516137</v>
      </c>
      <c r="I288" s="18">
        <f>J288-H288</f>
        <v>17054.42141935484</v>
      </c>
      <c r="J288" s="18">
        <f>F288*G288</f>
        <v>17200</v>
      </c>
      <c r="K288" s="18">
        <v>3.0000000000000001E-5</v>
      </c>
      <c r="L288" s="18">
        <f>F288*K288</f>
        <v>3.0000000000000001E-5</v>
      </c>
      <c r="M288" s="38" t="s">
        <v>643</v>
      </c>
      <c r="P288" s="43">
        <f>IF(AG288="5",J288,0)</f>
        <v>0</v>
      </c>
      <c r="R288" s="43">
        <f>IF(AG288="1",H288,0)</f>
        <v>0</v>
      </c>
      <c r="S288" s="43">
        <f>IF(AG288="1",I288,0)</f>
        <v>0</v>
      </c>
      <c r="T288" s="43">
        <f>IF(AG288="7",H288,0)</f>
        <v>145.57858064516137</v>
      </c>
      <c r="U288" s="43">
        <f>IF(AG288="7",I288,0)</f>
        <v>17054.42141935484</v>
      </c>
      <c r="V288" s="43">
        <f>IF(AG288="2",H288,0)</f>
        <v>0</v>
      </c>
      <c r="W288" s="43">
        <f>IF(AG288="2",I288,0)</f>
        <v>0</v>
      </c>
      <c r="X288" s="43">
        <f>IF(AG288="0",J288,0)</f>
        <v>0</v>
      </c>
      <c r="Y288" s="34" t="s">
        <v>199</v>
      </c>
      <c r="Z288" s="18">
        <f>IF(AD288=0,J288,0)</f>
        <v>0</v>
      </c>
      <c r="AA288" s="18">
        <f>IF(AD288=15,J288,0)</f>
        <v>0</v>
      </c>
      <c r="AB288" s="18">
        <f>IF(AD288=21,J288,0)</f>
        <v>17200</v>
      </c>
      <c r="AD288" s="43">
        <v>21</v>
      </c>
      <c r="AE288" s="43">
        <f>G288*0.00846387096774194</f>
        <v>145.57858064516137</v>
      </c>
      <c r="AF288" s="43">
        <f>G288*(1-0.00846387096774194)</f>
        <v>17054.42141935484</v>
      </c>
      <c r="AG288" s="38" t="s">
        <v>13</v>
      </c>
      <c r="AM288" s="43">
        <f>F288*AE288</f>
        <v>145.57858064516137</v>
      </c>
      <c r="AN288" s="43">
        <f>F288*AF288</f>
        <v>17054.42141935484</v>
      </c>
      <c r="AO288" s="44" t="s">
        <v>675</v>
      </c>
      <c r="AP288" s="44" t="s">
        <v>701</v>
      </c>
      <c r="AQ288" s="34" t="s">
        <v>715</v>
      </c>
      <c r="AS288" s="43">
        <f>AM288+AN288</f>
        <v>17200</v>
      </c>
      <c r="AT288" s="43">
        <f>G288/(100-AU288)*100</f>
        <v>17200</v>
      </c>
      <c r="AU288" s="43">
        <v>0</v>
      </c>
      <c r="AV288" s="43">
        <f>L288</f>
        <v>3.0000000000000001E-5</v>
      </c>
    </row>
    <row r="289" spans="1:48">
      <c r="A289" s="4"/>
      <c r="B289" s="14" t="s">
        <v>199</v>
      </c>
      <c r="C289" s="14" t="s">
        <v>259</v>
      </c>
      <c r="D289" s="83" t="s">
        <v>457</v>
      </c>
      <c r="E289" s="4" t="s">
        <v>6</v>
      </c>
      <c r="F289" s="4" t="s">
        <v>6</v>
      </c>
      <c r="G289" s="24" t="s">
        <v>6</v>
      </c>
      <c r="H289" s="46">
        <f>SUM(H290:H290)</f>
        <v>0</v>
      </c>
      <c r="I289" s="46">
        <f>SUM(I290:I290)</f>
        <v>5589</v>
      </c>
      <c r="J289" s="46">
        <f>H289+I289</f>
        <v>5589</v>
      </c>
      <c r="K289" s="34"/>
      <c r="L289" s="46">
        <f>SUM(L290:L290)</f>
        <v>2.4011999999999998</v>
      </c>
      <c r="M289" s="34"/>
      <c r="Y289" s="34" t="s">
        <v>199</v>
      </c>
      <c r="AI289" s="46">
        <f>SUM(Z290:Z290)</f>
        <v>0</v>
      </c>
      <c r="AJ289" s="46">
        <f>SUM(AA290:AA290)</f>
        <v>0</v>
      </c>
      <c r="AK289" s="46">
        <f>SUM(AB290:AB290)</f>
        <v>5589</v>
      </c>
    </row>
    <row r="290" spans="1:48">
      <c r="A290" s="5" t="s">
        <v>152</v>
      </c>
      <c r="B290" s="5" t="s">
        <v>199</v>
      </c>
      <c r="C290" s="5" t="s">
        <v>260</v>
      </c>
      <c r="D290" s="84" t="s">
        <v>458</v>
      </c>
      <c r="E290" s="5" t="s">
        <v>620</v>
      </c>
      <c r="F290" s="76">
        <v>27.6</v>
      </c>
      <c r="G290" s="25">
        <v>202.5</v>
      </c>
      <c r="H290" s="18">
        <f>F290*AE290</f>
        <v>0</v>
      </c>
      <c r="I290" s="18">
        <f>J290-H290</f>
        <v>5589</v>
      </c>
      <c r="J290" s="18">
        <f>F290*G290</f>
        <v>5589</v>
      </c>
      <c r="K290" s="18">
        <v>8.6999999999999994E-2</v>
      </c>
      <c r="L290" s="18">
        <f>F290*K290</f>
        <v>2.4011999999999998</v>
      </c>
      <c r="M290" s="38" t="s">
        <v>643</v>
      </c>
      <c r="P290" s="43">
        <f>IF(AG290="5",J290,0)</f>
        <v>0</v>
      </c>
      <c r="R290" s="43">
        <f>IF(AG290="1",H290,0)</f>
        <v>0</v>
      </c>
      <c r="S290" s="43">
        <f>IF(AG290="1",I290,0)</f>
        <v>0</v>
      </c>
      <c r="T290" s="43">
        <f>IF(AG290="7",H290,0)</f>
        <v>0</v>
      </c>
      <c r="U290" s="43">
        <f>IF(AG290="7",I290,0)</f>
        <v>5589</v>
      </c>
      <c r="V290" s="43">
        <f>IF(AG290="2",H290,0)</f>
        <v>0</v>
      </c>
      <c r="W290" s="43">
        <f>IF(AG290="2",I290,0)</f>
        <v>0</v>
      </c>
      <c r="X290" s="43">
        <f>IF(AG290="0",J290,0)</f>
        <v>0</v>
      </c>
      <c r="Y290" s="34" t="s">
        <v>199</v>
      </c>
      <c r="Z290" s="18">
        <f>IF(AD290=0,J290,0)</f>
        <v>0</v>
      </c>
      <c r="AA290" s="18">
        <f>IF(AD290=15,J290,0)</f>
        <v>0</v>
      </c>
      <c r="AB290" s="18">
        <f>IF(AD290=21,J290,0)</f>
        <v>5589</v>
      </c>
      <c r="AD290" s="43">
        <v>21</v>
      </c>
      <c r="AE290" s="43">
        <f>G290*0</f>
        <v>0</v>
      </c>
      <c r="AF290" s="43">
        <f>G290*(1-0)</f>
        <v>202.5</v>
      </c>
      <c r="AG290" s="38" t="s">
        <v>13</v>
      </c>
      <c r="AM290" s="43">
        <f>F290*AE290</f>
        <v>0</v>
      </c>
      <c r="AN290" s="43">
        <f>F290*AF290</f>
        <v>5589</v>
      </c>
      <c r="AO290" s="44" t="s">
        <v>669</v>
      </c>
      <c r="AP290" s="44" t="s">
        <v>702</v>
      </c>
      <c r="AQ290" s="34" t="s">
        <v>715</v>
      </c>
      <c r="AS290" s="43">
        <f>AM290+AN290</f>
        <v>5589</v>
      </c>
      <c r="AT290" s="43">
        <f>G290/(100-AU290)*100</f>
        <v>202.5</v>
      </c>
      <c r="AU290" s="43">
        <v>0</v>
      </c>
      <c r="AV290" s="43">
        <f>L290</f>
        <v>2.4011999999999998</v>
      </c>
    </row>
    <row r="291" spans="1:48">
      <c r="D291" s="85" t="s">
        <v>572</v>
      </c>
      <c r="F291" s="77">
        <v>27.6</v>
      </c>
      <c r="G291" s="26"/>
    </row>
    <row r="292" spans="1:48">
      <c r="A292" s="4"/>
      <c r="B292" s="14" t="s">
        <v>199</v>
      </c>
      <c r="C292" s="14" t="s">
        <v>328</v>
      </c>
      <c r="D292" s="83" t="s">
        <v>573</v>
      </c>
      <c r="E292" s="4" t="s">
        <v>6</v>
      </c>
      <c r="F292" s="4" t="s">
        <v>6</v>
      </c>
      <c r="G292" s="24" t="s">
        <v>6</v>
      </c>
      <c r="H292" s="46">
        <f>SUM(H293:H304)</f>
        <v>51000.42617030687</v>
      </c>
      <c r="I292" s="46">
        <f>SUM(I293:I304)</f>
        <v>12568.571629693133</v>
      </c>
      <c r="J292" s="46">
        <f>H292+I292</f>
        <v>63568.997800000005</v>
      </c>
      <c r="K292" s="34"/>
      <c r="L292" s="46">
        <f>SUM(L293:L304)</f>
        <v>0.27450576000000004</v>
      </c>
      <c r="M292" s="34"/>
      <c r="Y292" s="34" t="s">
        <v>199</v>
      </c>
      <c r="AI292" s="46">
        <f>SUM(Z293:Z304)</f>
        <v>0</v>
      </c>
      <c r="AJ292" s="46">
        <f>SUM(AA293:AA304)</f>
        <v>0</v>
      </c>
      <c r="AK292" s="46">
        <f>SUM(AB293:AB304)</f>
        <v>63568.997800000005</v>
      </c>
    </row>
    <row r="293" spans="1:48">
      <c r="A293" s="5" t="s">
        <v>153</v>
      </c>
      <c r="B293" s="5" t="s">
        <v>199</v>
      </c>
      <c r="C293" s="5" t="s">
        <v>329</v>
      </c>
      <c r="D293" s="84" t="s">
        <v>574</v>
      </c>
      <c r="E293" s="5" t="s">
        <v>621</v>
      </c>
      <c r="F293" s="76">
        <v>5.2999999999999999E-2</v>
      </c>
      <c r="G293" s="25">
        <v>483</v>
      </c>
      <c r="H293" s="18">
        <f>F293*AE293</f>
        <v>0</v>
      </c>
      <c r="I293" s="18">
        <f>J293-H293</f>
        <v>25.599</v>
      </c>
      <c r="J293" s="18">
        <f>F293*G293</f>
        <v>25.599</v>
      </c>
      <c r="K293" s="18">
        <v>0</v>
      </c>
      <c r="L293" s="18">
        <f>F293*K293</f>
        <v>0</v>
      </c>
      <c r="M293" s="38" t="s">
        <v>643</v>
      </c>
      <c r="P293" s="43">
        <f>IF(AG293="5",J293,0)</f>
        <v>25.599</v>
      </c>
      <c r="R293" s="43">
        <f>IF(AG293="1",H293,0)</f>
        <v>0</v>
      </c>
      <c r="S293" s="43">
        <f>IF(AG293="1",I293,0)</f>
        <v>0</v>
      </c>
      <c r="T293" s="43">
        <f>IF(AG293="7",H293,0)</f>
        <v>0</v>
      </c>
      <c r="U293" s="43">
        <f>IF(AG293="7",I293,0)</f>
        <v>0</v>
      </c>
      <c r="V293" s="43">
        <f>IF(AG293="2",H293,0)</f>
        <v>0</v>
      </c>
      <c r="W293" s="43">
        <f>IF(AG293="2",I293,0)</f>
        <v>0</v>
      </c>
      <c r="X293" s="43">
        <f>IF(AG293="0",J293,0)</f>
        <v>0</v>
      </c>
      <c r="Y293" s="34" t="s">
        <v>199</v>
      </c>
      <c r="Z293" s="18">
        <f>IF(AD293=0,J293,0)</f>
        <v>0</v>
      </c>
      <c r="AA293" s="18">
        <f>IF(AD293=15,J293,0)</f>
        <v>0</v>
      </c>
      <c r="AB293" s="18">
        <f>IF(AD293=21,J293,0)</f>
        <v>25.599</v>
      </c>
      <c r="AD293" s="43">
        <v>21</v>
      </c>
      <c r="AE293" s="43">
        <f>G293*0</f>
        <v>0</v>
      </c>
      <c r="AF293" s="43">
        <f>G293*(1-0)</f>
        <v>483</v>
      </c>
      <c r="AG293" s="38" t="s">
        <v>11</v>
      </c>
      <c r="AM293" s="43">
        <f>F293*AE293</f>
        <v>0</v>
      </c>
      <c r="AN293" s="43">
        <f>F293*AF293</f>
        <v>25.599</v>
      </c>
      <c r="AO293" s="44" t="s">
        <v>676</v>
      </c>
      <c r="AP293" s="44" t="s">
        <v>702</v>
      </c>
      <c r="AQ293" s="34" t="s">
        <v>715</v>
      </c>
      <c r="AS293" s="43">
        <f>AM293+AN293</f>
        <v>25.599</v>
      </c>
      <c r="AT293" s="43">
        <f>G293/(100-AU293)*100</f>
        <v>483</v>
      </c>
      <c r="AU293" s="43">
        <v>0</v>
      </c>
      <c r="AV293" s="43">
        <f>L293</f>
        <v>0</v>
      </c>
    </row>
    <row r="294" spans="1:48">
      <c r="A294" s="5" t="s">
        <v>154</v>
      </c>
      <c r="B294" s="5" t="s">
        <v>199</v>
      </c>
      <c r="C294" s="5" t="s">
        <v>330</v>
      </c>
      <c r="D294" s="84" t="s">
        <v>575</v>
      </c>
      <c r="E294" s="5" t="s">
        <v>620</v>
      </c>
      <c r="F294" s="76">
        <v>55.1</v>
      </c>
      <c r="G294" s="25">
        <v>247.5</v>
      </c>
      <c r="H294" s="18">
        <f>F294*AE294</f>
        <v>2297.6331026785733</v>
      </c>
      <c r="I294" s="18">
        <f>J294-H294</f>
        <v>11339.616897321426</v>
      </c>
      <c r="J294" s="18">
        <f>F294*G294</f>
        <v>13637.25</v>
      </c>
      <c r="K294" s="18">
        <v>2.5000000000000001E-4</v>
      </c>
      <c r="L294" s="18">
        <f>F294*K294</f>
        <v>1.3775000000000001E-2</v>
      </c>
      <c r="M294" s="38" t="s">
        <v>643</v>
      </c>
      <c r="P294" s="43">
        <f>IF(AG294="5",J294,0)</f>
        <v>0</v>
      </c>
      <c r="R294" s="43">
        <f>IF(AG294="1",H294,0)</f>
        <v>0</v>
      </c>
      <c r="S294" s="43">
        <f>IF(AG294="1",I294,0)</f>
        <v>0</v>
      </c>
      <c r="T294" s="43">
        <f>IF(AG294="7",H294,0)</f>
        <v>2297.6331026785733</v>
      </c>
      <c r="U294" s="43">
        <f>IF(AG294="7",I294,0)</f>
        <v>11339.616897321426</v>
      </c>
      <c r="V294" s="43">
        <f>IF(AG294="2",H294,0)</f>
        <v>0</v>
      </c>
      <c r="W294" s="43">
        <f>IF(AG294="2",I294,0)</f>
        <v>0</v>
      </c>
      <c r="X294" s="43">
        <f>IF(AG294="0",J294,0)</f>
        <v>0</v>
      </c>
      <c r="Y294" s="34" t="s">
        <v>199</v>
      </c>
      <c r="Z294" s="18">
        <f>IF(AD294=0,J294,0)</f>
        <v>0</v>
      </c>
      <c r="AA294" s="18">
        <f>IF(AD294=15,J294,0)</f>
        <v>0</v>
      </c>
      <c r="AB294" s="18">
        <f>IF(AD294=21,J294,0)</f>
        <v>13637.25</v>
      </c>
      <c r="AD294" s="43">
        <v>21</v>
      </c>
      <c r="AE294" s="43">
        <f>G294*0.168482142857143</f>
        <v>41.699330357142891</v>
      </c>
      <c r="AF294" s="43">
        <f>G294*(1-0.168482142857143)</f>
        <v>205.80066964285709</v>
      </c>
      <c r="AG294" s="38" t="s">
        <v>13</v>
      </c>
      <c r="AM294" s="43">
        <f>F294*AE294</f>
        <v>2297.6331026785733</v>
      </c>
      <c r="AN294" s="43">
        <f>F294*AF294</f>
        <v>11339.616897321426</v>
      </c>
      <c r="AO294" s="44" t="s">
        <v>676</v>
      </c>
      <c r="AP294" s="44" t="s">
        <v>702</v>
      </c>
      <c r="AQ294" s="34" t="s">
        <v>715</v>
      </c>
      <c r="AS294" s="43">
        <f>AM294+AN294</f>
        <v>13637.25</v>
      </c>
      <c r="AT294" s="43">
        <f>G294/(100-AU294)*100</f>
        <v>247.5</v>
      </c>
      <c r="AU294" s="43">
        <v>0</v>
      </c>
      <c r="AV294" s="43">
        <f>L294</f>
        <v>1.3775000000000001E-2</v>
      </c>
    </row>
    <row r="295" spans="1:48">
      <c r="D295" s="85" t="s">
        <v>576</v>
      </c>
      <c r="F295" s="77">
        <v>27</v>
      </c>
      <c r="G295" s="26"/>
    </row>
    <row r="296" spans="1:48">
      <c r="D296" s="85" t="s">
        <v>577</v>
      </c>
      <c r="F296" s="77">
        <v>0.5</v>
      </c>
      <c r="G296" s="26"/>
    </row>
    <row r="297" spans="1:48">
      <c r="D297" s="85" t="s">
        <v>578</v>
      </c>
      <c r="F297" s="77">
        <v>27.6</v>
      </c>
      <c r="G297" s="26"/>
    </row>
    <row r="298" spans="1:48">
      <c r="A298" s="6" t="s">
        <v>155</v>
      </c>
      <c r="B298" s="6" t="s">
        <v>199</v>
      </c>
      <c r="C298" s="6" t="s">
        <v>331</v>
      </c>
      <c r="D298" s="86" t="s">
        <v>579</v>
      </c>
      <c r="E298" s="6" t="s">
        <v>620</v>
      </c>
      <c r="F298" s="78">
        <v>64.888000000000005</v>
      </c>
      <c r="G298" s="27">
        <v>750</v>
      </c>
      <c r="H298" s="19">
        <f>F298*AE298</f>
        <v>48666.000000000007</v>
      </c>
      <c r="I298" s="19">
        <f>J298-H298</f>
        <v>0</v>
      </c>
      <c r="J298" s="19">
        <f>F298*G298</f>
        <v>48666.000000000007</v>
      </c>
      <c r="K298" s="19">
        <v>3.5999999999999999E-3</v>
      </c>
      <c r="L298" s="19">
        <f>F298*K298</f>
        <v>0.23359680000000002</v>
      </c>
      <c r="M298" s="39" t="s">
        <v>645</v>
      </c>
      <c r="P298" s="43">
        <f>IF(AG298="5",J298,0)</f>
        <v>0</v>
      </c>
      <c r="R298" s="43">
        <f>IF(AG298="1",H298,0)</f>
        <v>0</v>
      </c>
      <c r="S298" s="43">
        <f>IF(AG298="1",I298,0)</f>
        <v>0</v>
      </c>
      <c r="T298" s="43">
        <f>IF(AG298="7",H298,0)</f>
        <v>48666.000000000007</v>
      </c>
      <c r="U298" s="43">
        <f>IF(AG298="7",I298,0)</f>
        <v>0</v>
      </c>
      <c r="V298" s="43">
        <f>IF(AG298="2",H298,0)</f>
        <v>0</v>
      </c>
      <c r="W298" s="43">
        <f>IF(AG298="2",I298,0)</f>
        <v>0</v>
      </c>
      <c r="X298" s="43">
        <f>IF(AG298="0",J298,0)</f>
        <v>0</v>
      </c>
      <c r="Y298" s="34" t="s">
        <v>199</v>
      </c>
      <c r="Z298" s="19">
        <f>IF(AD298=0,J298,0)</f>
        <v>0</v>
      </c>
      <c r="AA298" s="19">
        <f>IF(AD298=15,J298,0)</f>
        <v>0</v>
      </c>
      <c r="AB298" s="19">
        <f>IF(AD298=21,J298,0)</f>
        <v>48666.000000000007</v>
      </c>
      <c r="AD298" s="43">
        <v>21</v>
      </c>
      <c r="AE298" s="43">
        <f>G298*1</f>
        <v>750</v>
      </c>
      <c r="AF298" s="43">
        <f>G298*(1-1)</f>
        <v>0</v>
      </c>
      <c r="AG298" s="39" t="s">
        <v>13</v>
      </c>
      <c r="AM298" s="43">
        <f>F298*AE298</f>
        <v>48666.000000000007</v>
      </c>
      <c r="AN298" s="43">
        <f>F298*AF298</f>
        <v>0</v>
      </c>
      <c r="AO298" s="44" t="s">
        <v>676</v>
      </c>
      <c r="AP298" s="44" t="s">
        <v>702</v>
      </c>
      <c r="AQ298" s="34" t="s">
        <v>715</v>
      </c>
      <c r="AS298" s="43">
        <f>AM298+AN298</f>
        <v>48666.000000000007</v>
      </c>
      <c r="AT298" s="43">
        <f>G298/(100-AU298)*100</f>
        <v>750</v>
      </c>
      <c r="AU298" s="43">
        <v>0</v>
      </c>
      <c r="AV298" s="43">
        <f>L298</f>
        <v>0.23359680000000002</v>
      </c>
    </row>
    <row r="299" spans="1:48">
      <c r="D299" s="85" t="s">
        <v>580</v>
      </c>
      <c r="F299" s="77">
        <v>55.1</v>
      </c>
      <c r="G299" s="26"/>
    </row>
    <row r="300" spans="1:48">
      <c r="D300" s="85" t="s">
        <v>581</v>
      </c>
      <c r="F300" s="77">
        <v>6.6980000000000004</v>
      </c>
      <c r="G300" s="26"/>
    </row>
    <row r="301" spans="1:48">
      <c r="D301" s="85" t="s">
        <v>582</v>
      </c>
      <c r="F301" s="77">
        <v>3.09</v>
      </c>
      <c r="G301" s="26"/>
    </row>
    <row r="302" spans="1:48">
      <c r="A302" s="5" t="s">
        <v>156</v>
      </c>
      <c r="B302" s="5" t="s">
        <v>199</v>
      </c>
      <c r="C302" s="5" t="s">
        <v>332</v>
      </c>
      <c r="D302" s="84" t="s">
        <v>583</v>
      </c>
      <c r="E302" s="5" t="s">
        <v>620</v>
      </c>
      <c r="F302" s="76">
        <v>27</v>
      </c>
      <c r="G302" s="25">
        <v>37.1</v>
      </c>
      <c r="H302" s="18">
        <f>F302*AE302</f>
        <v>0</v>
      </c>
      <c r="I302" s="18">
        <f>J302-H302</f>
        <v>1001.7</v>
      </c>
      <c r="J302" s="18">
        <f>F302*G302</f>
        <v>1001.7</v>
      </c>
      <c r="K302" s="18">
        <v>1E-3</v>
      </c>
      <c r="L302" s="18">
        <f>F302*K302</f>
        <v>2.7E-2</v>
      </c>
      <c r="M302" s="38" t="s">
        <v>643</v>
      </c>
      <c r="P302" s="43">
        <f>IF(AG302="5",J302,0)</f>
        <v>0</v>
      </c>
      <c r="R302" s="43">
        <f>IF(AG302="1",H302,0)</f>
        <v>0</v>
      </c>
      <c r="S302" s="43">
        <f>IF(AG302="1",I302,0)</f>
        <v>0</v>
      </c>
      <c r="T302" s="43">
        <f>IF(AG302="7",H302,0)</f>
        <v>0</v>
      </c>
      <c r="U302" s="43">
        <f>IF(AG302="7",I302,0)</f>
        <v>1001.7</v>
      </c>
      <c r="V302" s="43">
        <f>IF(AG302="2",H302,0)</f>
        <v>0</v>
      </c>
      <c r="W302" s="43">
        <f>IF(AG302="2",I302,0)</f>
        <v>0</v>
      </c>
      <c r="X302" s="43">
        <f>IF(AG302="0",J302,0)</f>
        <v>0</v>
      </c>
      <c r="Y302" s="34" t="s">
        <v>199</v>
      </c>
      <c r="Z302" s="18">
        <f>IF(AD302=0,J302,0)</f>
        <v>0</v>
      </c>
      <c r="AA302" s="18">
        <f>IF(AD302=15,J302,0)</f>
        <v>0</v>
      </c>
      <c r="AB302" s="18">
        <f>IF(AD302=21,J302,0)</f>
        <v>1001.7</v>
      </c>
      <c r="AD302" s="43">
        <v>21</v>
      </c>
      <c r="AE302" s="43">
        <f>G302*0</f>
        <v>0</v>
      </c>
      <c r="AF302" s="43">
        <f>G302*(1-0)</f>
        <v>37.1</v>
      </c>
      <c r="AG302" s="38" t="s">
        <v>13</v>
      </c>
      <c r="AM302" s="43">
        <f>F302*AE302</f>
        <v>0</v>
      </c>
      <c r="AN302" s="43">
        <f>F302*AF302</f>
        <v>1001.7</v>
      </c>
      <c r="AO302" s="44" t="s">
        <v>676</v>
      </c>
      <c r="AP302" s="44" t="s">
        <v>702</v>
      </c>
      <c r="AQ302" s="34" t="s">
        <v>715</v>
      </c>
      <c r="AS302" s="43">
        <f>AM302+AN302</f>
        <v>1001.7</v>
      </c>
      <c r="AT302" s="43">
        <f>G302/(100-AU302)*100</f>
        <v>37.1</v>
      </c>
      <c r="AU302" s="43">
        <v>0</v>
      </c>
      <c r="AV302" s="43">
        <f>L302</f>
        <v>2.7E-2</v>
      </c>
    </row>
    <row r="303" spans="1:48">
      <c r="D303" s="85" t="s">
        <v>584</v>
      </c>
      <c r="F303" s="77">
        <v>27</v>
      </c>
      <c r="G303" s="26"/>
    </row>
    <row r="304" spans="1:48">
      <c r="A304" s="5" t="s">
        <v>157</v>
      </c>
      <c r="B304" s="5" t="s">
        <v>199</v>
      </c>
      <c r="C304" s="5" t="s">
        <v>333</v>
      </c>
      <c r="D304" s="84" t="s">
        <v>585</v>
      </c>
      <c r="E304" s="5" t="s">
        <v>625</v>
      </c>
      <c r="F304" s="76">
        <v>6.6980000000000004</v>
      </c>
      <c r="G304" s="25">
        <v>35.6</v>
      </c>
      <c r="H304" s="18">
        <f>F304*AE304</f>
        <v>36.793067628293294</v>
      </c>
      <c r="I304" s="18">
        <f>J304-H304</f>
        <v>201.65573237170673</v>
      </c>
      <c r="J304" s="18">
        <f>F304*G304</f>
        <v>238.44880000000003</v>
      </c>
      <c r="K304" s="18">
        <v>2.0000000000000002E-5</v>
      </c>
      <c r="L304" s="18">
        <f>F304*K304</f>
        <v>1.3396000000000003E-4</v>
      </c>
      <c r="M304" s="38" t="s">
        <v>643</v>
      </c>
      <c r="P304" s="43">
        <f>IF(AG304="5",J304,0)</f>
        <v>0</v>
      </c>
      <c r="R304" s="43">
        <f>IF(AG304="1",H304,0)</f>
        <v>0</v>
      </c>
      <c r="S304" s="43">
        <f>IF(AG304="1",I304,0)</f>
        <v>0</v>
      </c>
      <c r="T304" s="43">
        <f>IF(AG304="7",H304,0)</f>
        <v>36.793067628293294</v>
      </c>
      <c r="U304" s="43">
        <f>IF(AG304="7",I304,0)</f>
        <v>201.65573237170673</v>
      </c>
      <c r="V304" s="43">
        <f>IF(AG304="2",H304,0)</f>
        <v>0</v>
      </c>
      <c r="W304" s="43">
        <f>IF(AG304="2",I304,0)</f>
        <v>0</v>
      </c>
      <c r="X304" s="43">
        <f>IF(AG304="0",J304,0)</f>
        <v>0</v>
      </c>
      <c r="Y304" s="34" t="s">
        <v>199</v>
      </c>
      <c r="Z304" s="18">
        <f>IF(AD304=0,J304,0)</f>
        <v>0</v>
      </c>
      <c r="AA304" s="18">
        <f>IF(AD304=15,J304,0)</f>
        <v>0</v>
      </c>
      <c r="AB304" s="18">
        <f>IF(AD304=21,J304,0)</f>
        <v>238.44880000000003</v>
      </c>
      <c r="AD304" s="43">
        <v>21</v>
      </c>
      <c r="AE304" s="43">
        <f>G304*0.15430175210902</f>
        <v>5.4931423750811126</v>
      </c>
      <c r="AF304" s="43">
        <f>G304*(1-0.15430175210902)</f>
        <v>30.106857624918892</v>
      </c>
      <c r="AG304" s="38" t="s">
        <v>13</v>
      </c>
      <c r="AM304" s="43">
        <f>F304*AE304</f>
        <v>36.793067628293294</v>
      </c>
      <c r="AN304" s="43">
        <f>F304*AF304</f>
        <v>201.65573237170673</v>
      </c>
      <c r="AO304" s="44" t="s">
        <v>676</v>
      </c>
      <c r="AP304" s="44" t="s">
        <v>702</v>
      </c>
      <c r="AQ304" s="34" t="s">
        <v>715</v>
      </c>
      <c r="AS304" s="43">
        <f>AM304+AN304</f>
        <v>238.44880000000003</v>
      </c>
      <c r="AT304" s="43">
        <f>G304/(100-AU304)*100</f>
        <v>35.6</v>
      </c>
      <c r="AU304" s="43">
        <v>0</v>
      </c>
      <c r="AV304" s="43">
        <f>L304</f>
        <v>1.3396000000000003E-4</v>
      </c>
    </row>
    <row r="305" spans="1:48">
      <c r="D305" s="85" t="s">
        <v>586</v>
      </c>
      <c r="F305" s="77">
        <v>6.6980000000000004</v>
      </c>
      <c r="G305" s="26"/>
    </row>
    <row r="306" spans="1:48">
      <c r="A306" s="4"/>
      <c r="B306" s="14" t="s">
        <v>199</v>
      </c>
      <c r="C306" s="14" t="s">
        <v>215</v>
      </c>
      <c r="D306" s="83" t="s">
        <v>369</v>
      </c>
      <c r="E306" s="4" t="s">
        <v>6</v>
      </c>
      <c r="F306" s="4" t="s">
        <v>6</v>
      </c>
      <c r="G306" s="24" t="s">
        <v>6</v>
      </c>
      <c r="H306" s="46">
        <f>SUM(H307:H309)</f>
        <v>96.207275964936201</v>
      </c>
      <c r="I306" s="46">
        <f>SUM(I307:I309)</f>
        <v>685.38972403506386</v>
      </c>
      <c r="J306" s="46">
        <f>H306+I306</f>
        <v>781.59700000000009</v>
      </c>
      <c r="K306" s="34"/>
      <c r="L306" s="46">
        <f>SUM(L307:L309)</f>
        <v>2.4741199999999998E-3</v>
      </c>
      <c r="M306" s="34"/>
      <c r="Y306" s="34" t="s">
        <v>199</v>
      </c>
      <c r="AI306" s="46">
        <f>SUM(Z307:Z309)</f>
        <v>0</v>
      </c>
      <c r="AJ306" s="46">
        <f>SUM(AA307:AA309)</f>
        <v>0</v>
      </c>
      <c r="AK306" s="46">
        <f>SUM(AB307:AB309)</f>
        <v>781.59700000000009</v>
      </c>
    </row>
    <row r="307" spans="1:48">
      <c r="A307" s="5" t="s">
        <v>158</v>
      </c>
      <c r="B307" s="5" t="s">
        <v>199</v>
      </c>
      <c r="C307" s="5" t="s">
        <v>236</v>
      </c>
      <c r="D307" s="84" t="s">
        <v>470</v>
      </c>
      <c r="E307" s="5" t="s">
        <v>620</v>
      </c>
      <c r="F307" s="76">
        <v>11.246</v>
      </c>
      <c r="G307" s="25">
        <v>18.600000000000001</v>
      </c>
      <c r="H307" s="18">
        <f>F307*AE307</f>
        <v>42.493237605547705</v>
      </c>
      <c r="I307" s="18">
        <f>J307-H307</f>
        <v>166.68236239445233</v>
      </c>
      <c r="J307" s="18">
        <f>F307*G307</f>
        <v>209.17560000000003</v>
      </c>
      <c r="K307" s="18">
        <v>6.9999999999999994E-5</v>
      </c>
      <c r="L307" s="18">
        <f>F307*K307</f>
        <v>7.8721999999999993E-4</v>
      </c>
      <c r="M307" s="38" t="s">
        <v>644</v>
      </c>
      <c r="P307" s="43">
        <f>IF(AG307="5",J307,0)</f>
        <v>0</v>
      </c>
      <c r="R307" s="43">
        <f>IF(AG307="1",H307,0)</f>
        <v>0</v>
      </c>
      <c r="S307" s="43">
        <f>IF(AG307="1",I307,0)</f>
        <v>0</v>
      </c>
      <c r="T307" s="43">
        <f>IF(AG307="7",H307,0)</f>
        <v>42.493237605547705</v>
      </c>
      <c r="U307" s="43">
        <f>IF(AG307="7",I307,0)</f>
        <v>166.68236239445233</v>
      </c>
      <c r="V307" s="43">
        <f>IF(AG307="2",H307,0)</f>
        <v>0</v>
      </c>
      <c r="W307" s="43">
        <f>IF(AG307="2",I307,0)</f>
        <v>0</v>
      </c>
      <c r="X307" s="43">
        <f>IF(AG307="0",J307,0)</f>
        <v>0</v>
      </c>
      <c r="Y307" s="34" t="s">
        <v>199</v>
      </c>
      <c r="Z307" s="18">
        <f>IF(AD307=0,J307,0)</f>
        <v>0</v>
      </c>
      <c r="AA307" s="18">
        <f>IF(AD307=15,J307,0)</f>
        <v>0</v>
      </c>
      <c r="AB307" s="18">
        <f>IF(AD307=21,J307,0)</f>
        <v>209.17560000000003</v>
      </c>
      <c r="AD307" s="43">
        <v>21</v>
      </c>
      <c r="AE307" s="43">
        <f>G307*0.203146244617191</f>
        <v>3.7785201498797529</v>
      </c>
      <c r="AF307" s="43">
        <f>G307*(1-0.203146244617191)</f>
        <v>14.821479850120248</v>
      </c>
      <c r="AG307" s="38" t="s">
        <v>13</v>
      </c>
      <c r="AM307" s="43">
        <f>F307*AE307</f>
        <v>42.493237605547705</v>
      </c>
      <c r="AN307" s="43">
        <f>F307*AF307</f>
        <v>166.68236239445233</v>
      </c>
      <c r="AO307" s="44" t="s">
        <v>660</v>
      </c>
      <c r="AP307" s="44" t="s">
        <v>703</v>
      </c>
      <c r="AQ307" s="34" t="s">
        <v>715</v>
      </c>
      <c r="AS307" s="43">
        <f>AM307+AN307</f>
        <v>209.17560000000003</v>
      </c>
      <c r="AT307" s="43">
        <f>G307/(100-AU307)*100</f>
        <v>18.600000000000001</v>
      </c>
      <c r="AU307" s="43">
        <v>0</v>
      </c>
      <c r="AV307" s="43">
        <f>L307</f>
        <v>7.8721999999999993E-4</v>
      </c>
    </row>
    <row r="308" spans="1:48">
      <c r="D308" s="85" t="s">
        <v>587</v>
      </c>
      <c r="F308" s="77">
        <v>11.246</v>
      </c>
      <c r="G308" s="26"/>
    </row>
    <row r="309" spans="1:48">
      <c r="A309" s="5" t="s">
        <v>159</v>
      </c>
      <c r="B309" s="5" t="s">
        <v>199</v>
      </c>
      <c r="C309" s="5" t="s">
        <v>237</v>
      </c>
      <c r="D309" s="84" t="s">
        <v>414</v>
      </c>
      <c r="E309" s="5" t="s">
        <v>620</v>
      </c>
      <c r="F309" s="76">
        <v>11.246</v>
      </c>
      <c r="G309" s="25">
        <v>50.9</v>
      </c>
      <c r="H309" s="18">
        <f>F309*AE309</f>
        <v>53.714038359388496</v>
      </c>
      <c r="I309" s="18">
        <f>J309-H309</f>
        <v>518.70736164061157</v>
      </c>
      <c r="J309" s="18">
        <f>F309*G309</f>
        <v>572.42140000000006</v>
      </c>
      <c r="K309" s="18">
        <v>1.4999999999999999E-4</v>
      </c>
      <c r="L309" s="18">
        <f>F309*K309</f>
        <v>1.6868999999999999E-3</v>
      </c>
      <c r="M309" s="38" t="s">
        <v>644</v>
      </c>
      <c r="P309" s="43">
        <f>IF(AG309="5",J309,0)</f>
        <v>0</v>
      </c>
      <c r="R309" s="43">
        <f>IF(AG309="1",H309,0)</f>
        <v>0</v>
      </c>
      <c r="S309" s="43">
        <f>IF(AG309="1",I309,0)</f>
        <v>0</v>
      </c>
      <c r="T309" s="43">
        <f>IF(AG309="7",H309,0)</f>
        <v>53.714038359388496</v>
      </c>
      <c r="U309" s="43">
        <f>IF(AG309="7",I309,0)</f>
        <v>518.70736164061157</v>
      </c>
      <c r="V309" s="43">
        <f>IF(AG309="2",H309,0)</f>
        <v>0</v>
      </c>
      <c r="W309" s="43">
        <f>IF(AG309="2",I309,0)</f>
        <v>0</v>
      </c>
      <c r="X309" s="43">
        <f>IF(AG309="0",J309,0)</f>
        <v>0</v>
      </c>
      <c r="Y309" s="34" t="s">
        <v>199</v>
      </c>
      <c r="Z309" s="18">
        <f>IF(AD309=0,J309,0)</f>
        <v>0</v>
      </c>
      <c r="AA309" s="18">
        <f>IF(AD309=15,J309,0)</f>
        <v>0</v>
      </c>
      <c r="AB309" s="18">
        <f>IF(AD309=21,J309,0)</f>
        <v>572.42140000000006</v>
      </c>
      <c r="AD309" s="43">
        <v>21</v>
      </c>
      <c r="AE309" s="43">
        <f>G309*0.0938365308484073</f>
        <v>4.7762794201839318</v>
      </c>
      <c r="AF309" s="43">
        <f>G309*(1-0.0938365308484073)</f>
        <v>46.123720579816066</v>
      </c>
      <c r="AG309" s="38" t="s">
        <v>13</v>
      </c>
      <c r="AM309" s="43">
        <f>F309*AE309</f>
        <v>53.714038359388496</v>
      </c>
      <c r="AN309" s="43">
        <f>F309*AF309</f>
        <v>518.70736164061145</v>
      </c>
      <c r="AO309" s="44" t="s">
        <v>660</v>
      </c>
      <c r="AP309" s="44" t="s">
        <v>703</v>
      </c>
      <c r="AQ309" s="34" t="s">
        <v>715</v>
      </c>
      <c r="AS309" s="43">
        <f>AM309+AN309</f>
        <v>572.42139999999995</v>
      </c>
      <c r="AT309" s="43">
        <f>G309/(100-AU309)*100</f>
        <v>50.9</v>
      </c>
      <c r="AU309" s="43">
        <v>0</v>
      </c>
      <c r="AV309" s="43">
        <f>L309</f>
        <v>1.6868999999999999E-3</v>
      </c>
    </row>
    <row r="310" spans="1:48">
      <c r="A310" s="4"/>
      <c r="B310" s="14" t="s">
        <v>199</v>
      </c>
      <c r="C310" s="14" t="s">
        <v>102</v>
      </c>
      <c r="D310" s="83" t="s">
        <v>416</v>
      </c>
      <c r="E310" s="4" t="s">
        <v>6</v>
      </c>
      <c r="F310" s="4" t="s">
        <v>6</v>
      </c>
      <c r="G310" s="24" t="s">
        <v>6</v>
      </c>
      <c r="H310" s="46">
        <f>SUM(H311:H313)</f>
        <v>50.048408755957965</v>
      </c>
      <c r="I310" s="46">
        <f>SUM(I311:I313)</f>
        <v>4017.0295912440424</v>
      </c>
      <c r="J310" s="46">
        <f>H310+I310</f>
        <v>4067.0780000000004</v>
      </c>
      <c r="K310" s="34"/>
      <c r="L310" s="46">
        <f>SUM(L311:L313)</f>
        <v>3.8253366399999997</v>
      </c>
      <c r="M310" s="34"/>
      <c r="Y310" s="34" t="s">
        <v>199</v>
      </c>
      <c r="AI310" s="46">
        <f>SUM(Z311:Z313)</f>
        <v>0</v>
      </c>
      <c r="AJ310" s="46">
        <f>SUM(AA311:AA313)</f>
        <v>0</v>
      </c>
      <c r="AK310" s="46">
        <f>SUM(AB311:AB313)</f>
        <v>4067.0780000000004</v>
      </c>
    </row>
    <row r="311" spans="1:48">
      <c r="A311" s="5" t="s">
        <v>160</v>
      </c>
      <c r="B311" s="5" t="s">
        <v>199</v>
      </c>
      <c r="C311" s="5" t="s">
        <v>334</v>
      </c>
      <c r="D311" s="84" t="s">
        <v>588</v>
      </c>
      <c r="E311" s="5" t="s">
        <v>624</v>
      </c>
      <c r="F311" s="76">
        <v>0.55000000000000004</v>
      </c>
      <c r="G311" s="25">
        <v>5315</v>
      </c>
      <c r="H311" s="18">
        <f>F311*AE311</f>
        <v>0</v>
      </c>
      <c r="I311" s="18">
        <f>J311-H311</f>
        <v>2923.2500000000005</v>
      </c>
      <c r="J311" s="18">
        <f>F311*G311</f>
        <v>2923.2500000000005</v>
      </c>
      <c r="K311" s="18">
        <v>2</v>
      </c>
      <c r="L311" s="18">
        <f>F311*K311</f>
        <v>1.1000000000000001</v>
      </c>
      <c r="M311" s="38" t="s">
        <v>643</v>
      </c>
      <c r="P311" s="43">
        <f>IF(AG311="5",J311,0)</f>
        <v>0</v>
      </c>
      <c r="R311" s="43">
        <f>IF(AG311="1",H311,0)</f>
        <v>0</v>
      </c>
      <c r="S311" s="43">
        <f>IF(AG311="1",I311,0)</f>
        <v>2923.2500000000005</v>
      </c>
      <c r="T311" s="43">
        <f>IF(AG311="7",H311,0)</f>
        <v>0</v>
      </c>
      <c r="U311" s="43">
        <f>IF(AG311="7",I311,0)</f>
        <v>0</v>
      </c>
      <c r="V311" s="43">
        <f>IF(AG311="2",H311,0)</f>
        <v>0</v>
      </c>
      <c r="W311" s="43">
        <f>IF(AG311="2",I311,0)</f>
        <v>0</v>
      </c>
      <c r="X311" s="43">
        <f>IF(AG311="0",J311,0)</f>
        <v>0</v>
      </c>
      <c r="Y311" s="34" t="s">
        <v>199</v>
      </c>
      <c r="Z311" s="18">
        <f>IF(AD311=0,J311,0)</f>
        <v>0</v>
      </c>
      <c r="AA311" s="18">
        <f>IF(AD311=15,J311,0)</f>
        <v>0</v>
      </c>
      <c r="AB311" s="18">
        <f>IF(AD311=21,J311,0)</f>
        <v>2923.2500000000005</v>
      </c>
      <c r="AD311" s="43">
        <v>21</v>
      </c>
      <c r="AE311" s="43">
        <f>G311*0</f>
        <v>0</v>
      </c>
      <c r="AF311" s="43">
        <f>G311*(1-0)</f>
        <v>5315</v>
      </c>
      <c r="AG311" s="38" t="s">
        <v>7</v>
      </c>
      <c r="AM311" s="43">
        <f>F311*AE311</f>
        <v>0</v>
      </c>
      <c r="AN311" s="43">
        <f>F311*AF311</f>
        <v>2923.2500000000005</v>
      </c>
      <c r="AO311" s="44" t="s">
        <v>665</v>
      </c>
      <c r="AP311" s="44" t="s">
        <v>704</v>
      </c>
      <c r="AQ311" s="34" t="s">
        <v>715</v>
      </c>
      <c r="AS311" s="43">
        <f>AM311+AN311</f>
        <v>2923.2500000000005</v>
      </c>
      <c r="AT311" s="43">
        <f>G311/(100-AU311)*100</f>
        <v>5315</v>
      </c>
      <c r="AU311" s="43">
        <v>0</v>
      </c>
      <c r="AV311" s="43">
        <f>L311</f>
        <v>1.1000000000000001</v>
      </c>
    </row>
    <row r="312" spans="1:48">
      <c r="D312" s="85" t="s">
        <v>589</v>
      </c>
      <c r="F312" s="77">
        <v>0.55000000000000004</v>
      </c>
      <c r="G312" s="26"/>
    </row>
    <row r="313" spans="1:48">
      <c r="A313" s="5" t="s">
        <v>161</v>
      </c>
      <c r="B313" s="5" t="s">
        <v>199</v>
      </c>
      <c r="C313" s="5" t="s">
        <v>335</v>
      </c>
      <c r="D313" s="84" t="s">
        <v>590</v>
      </c>
      <c r="E313" s="5" t="s">
        <v>624</v>
      </c>
      <c r="F313" s="76">
        <v>1.5129999999999999</v>
      </c>
      <c r="G313" s="25">
        <v>756</v>
      </c>
      <c r="H313" s="18">
        <f>F313*AE313</f>
        <v>50.048408755957965</v>
      </c>
      <c r="I313" s="18">
        <f>J313-H313</f>
        <v>1093.779591244042</v>
      </c>
      <c r="J313" s="18">
        <f>F313*G313</f>
        <v>1143.828</v>
      </c>
      <c r="K313" s="18">
        <v>1.80128</v>
      </c>
      <c r="L313" s="18">
        <f>F313*K313</f>
        <v>2.7253366399999996</v>
      </c>
      <c r="M313" s="38" t="s">
        <v>643</v>
      </c>
      <c r="P313" s="43">
        <f>IF(AG313="5",J313,0)</f>
        <v>0</v>
      </c>
      <c r="R313" s="43">
        <f>IF(AG313="1",H313,0)</f>
        <v>50.048408755957965</v>
      </c>
      <c r="S313" s="43">
        <f>IF(AG313="1",I313,0)</f>
        <v>1093.779591244042</v>
      </c>
      <c r="T313" s="43">
        <f>IF(AG313="7",H313,0)</f>
        <v>0</v>
      </c>
      <c r="U313" s="43">
        <f>IF(AG313="7",I313,0)</f>
        <v>0</v>
      </c>
      <c r="V313" s="43">
        <f>IF(AG313="2",H313,0)</f>
        <v>0</v>
      </c>
      <c r="W313" s="43">
        <f>IF(AG313="2",I313,0)</f>
        <v>0</v>
      </c>
      <c r="X313" s="43">
        <f>IF(AG313="0",J313,0)</f>
        <v>0</v>
      </c>
      <c r="Y313" s="34" t="s">
        <v>199</v>
      </c>
      <c r="Z313" s="18">
        <f>IF(AD313=0,J313,0)</f>
        <v>0</v>
      </c>
      <c r="AA313" s="18">
        <f>IF(AD313=15,J313,0)</f>
        <v>0</v>
      </c>
      <c r="AB313" s="18">
        <f>IF(AD313=21,J313,0)</f>
        <v>1143.828</v>
      </c>
      <c r="AD313" s="43">
        <v>21</v>
      </c>
      <c r="AE313" s="43">
        <f>G313*0.0437551876295719</f>
        <v>33.078921847956359</v>
      </c>
      <c r="AF313" s="43">
        <f>G313*(1-0.0437551876295719)</f>
        <v>722.92107815204372</v>
      </c>
      <c r="AG313" s="38" t="s">
        <v>7</v>
      </c>
      <c r="AM313" s="43">
        <f>F313*AE313</f>
        <v>50.048408755957965</v>
      </c>
      <c r="AN313" s="43">
        <f>F313*AF313</f>
        <v>1093.779591244042</v>
      </c>
      <c r="AO313" s="44" t="s">
        <v>665</v>
      </c>
      <c r="AP313" s="44" t="s">
        <v>704</v>
      </c>
      <c r="AQ313" s="34" t="s">
        <v>715</v>
      </c>
      <c r="AS313" s="43">
        <f>AM313+AN313</f>
        <v>1143.828</v>
      </c>
      <c r="AT313" s="43">
        <f>G313/(100-AU313)*100</f>
        <v>756</v>
      </c>
      <c r="AU313" s="43">
        <v>0</v>
      </c>
      <c r="AV313" s="43">
        <f>L313</f>
        <v>2.7253366399999996</v>
      </c>
    </row>
    <row r="314" spans="1:48">
      <c r="D314" s="85" t="s">
        <v>591</v>
      </c>
      <c r="F314" s="77">
        <v>1.5129999999999999</v>
      </c>
      <c r="G314" s="26"/>
    </row>
    <row r="315" spans="1:48">
      <c r="A315" s="4"/>
      <c r="B315" s="14" t="s">
        <v>199</v>
      </c>
      <c r="C315" s="14" t="s">
        <v>103</v>
      </c>
      <c r="D315" s="83" t="s">
        <v>373</v>
      </c>
      <c r="E315" s="4" t="s">
        <v>6</v>
      </c>
      <c r="F315" s="4" t="s">
        <v>6</v>
      </c>
      <c r="G315" s="24" t="s">
        <v>6</v>
      </c>
      <c r="H315" s="46">
        <f>SUM(H316:H317)</f>
        <v>129.99847243194085</v>
      </c>
      <c r="I315" s="46">
        <f>SUM(I316:I317)</f>
        <v>4483.2665275680592</v>
      </c>
      <c r="J315" s="46">
        <f>H315+I315</f>
        <v>4613.2650000000003</v>
      </c>
      <c r="K315" s="34"/>
      <c r="L315" s="46">
        <f>SUM(L316:L317)</f>
        <v>2.6183112999999998</v>
      </c>
      <c r="M315" s="34"/>
      <c r="Y315" s="34" t="s">
        <v>199</v>
      </c>
      <c r="AI315" s="46">
        <f>SUM(Z316:Z317)</f>
        <v>0</v>
      </c>
      <c r="AJ315" s="46">
        <f>SUM(AA316:AA317)</f>
        <v>0</v>
      </c>
      <c r="AK315" s="46">
        <f>SUM(AB316:AB317)</f>
        <v>4613.2649999999994</v>
      </c>
    </row>
    <row r="316" spans="1:48">
      <c r="A316" s="5" t="s">
        <v>162</v>
      </c>
      <c r="B316" s="5" t="s">
        <v>199</v>
      </c>
      <c r="C316" s="5" t="s">
        <v>336</v>
      </c>
      <c r="D316" s="84" t="s">
        <v>592</v>
      </c>
      <c r="E316" s="5" t="s">
        <v>622</v>
      </c>
      <c r="F316" s="76">
        <v>4</v>
      </c>
      <c r="G316" s="25">
        <v>462.5</v>
      </c>
      <c r="H316" s="18">
        <f>F316*AE316</f>
        <v>96.825531502266557</v>
      </c>
      <c r="I316" s="18">
        <f>J316-H316</f>
        <v>1753.1744684977334</v>
      </c>
      <c r="J316" s="18">
        <f>F316*G316</f>
        <v>1850</v>
      </c>
      <c r="K316" s="18">
        <v>0.15490999999999999</v>
      </c>
      <c r="L316" s="18">
        <f>F316*K316</f>
        <v>0.61963999999999997</v>
      </c>
      <c r="M316" s="38" t="s">
        <v>643</v>
      </c>
      <c r="P316" s="43">
        <f>IF(AG316="5",J316,0)</f>
        <v>0</v>
      </c>
      <c r="R316" s="43">
        <f>IF(AG316="1",H316,0)</f>
        <v>96.825531502266557</v>
      </c>
      <c r="S316" s="43">
        <f>IF(AG316="1",I316,0)</f>
        <v>1753.1744684977334</v>
      </c>
      <c r="T316" s="43">
        <f>IF(AG316="7",H316,0)</f>
        <v>0</v>
      </c>
      <c r="U316" s="43">
        <f>IF(AG316="7",I316,0)</f>
        <v>0</v>
      </c>
      <c r="V316" s="43">
        <f>IF(AG316="2",H316,0)</f>
        <v>0</v>
      </c>
      <c r="W316" s="43">
        <f>IF(AG316="2",I316,0)</f>
        <v>0</v>
      </c>
      <c r="X316" s="43">
        <f>IF(AG316="0",J316,0)</f>
        <v>0</v>
      </c>
      <c r="Y316" s="34" t="s">
        <v>199</v>
      </c>
      <c r="Z316" s="18">
        <f>IF(AD316=0,J316,0)</f>
        <v>0</v>
      </c>
      <c r="AA316" s="18">
        <f>IF(AD316=15,J316,0)</f>
        <v>0</v>
      </c>
      <c r="AB316" s="18">
        <f>IF(AD316=21,J316,0)</f>
        <v>1850</v>
      </c>
      <c r="AD316" s="43">
        <v>21</v>
      </c>
      <c r="AE316" s="43">
        <f>G316*0.0523381251363603</f>
        <v>24.206382875566639</v>
      </c>
      <c r="AF316" s="43">
        <f>G316*(1-0.0523381251363603)</f>
        <v>438.29361712443335</v>
      </c>
      <c r="AG316" s="38" t="s">
        <v>7</v>
      </c>
      <c r="AM316" s="43">
        <f>F316*AE316</f>
        <v>96.825531502266557</v>
      </c>
      <c r="AN316" s="43">
        <f>F316*AF316</f>
        <v>1753.1744684977334</v>
      </c>
      <c r="AO316" s="44" t="s">
        <v>661</v>
      </c>
      <c r="AP316" s="44" t="s">
        <v>704</v>
      </c>
      <c r="AQ316" s="34" t="s">
        <v>715</v>
      </c>
      <c r="AS316" s="43">
        <f>AM316+AN316</f>
        <v>1850</v>
      </c>
      <c r="AT316" s="43">
        <f>G316/(100-AU316)*100</f>
        <v>462.5</v>
      </c>
      <c r="AU316" s="43">
        <v>0</v>
      </c>
      <c r="AV316" s="43">
        <f>L316</f>
        <v>0.61963999999999997</v>
      </c>
    </row>
    <row r="317" spans="1:48">
      <c r="A317" s="5" t="s">
        <v>163</v>
      </c>
      <c r="B317" s="5" t="s">
        <v>199</v>
      </c>
      <c r="C317" s="5" t="s">
        <v>337</v>
      </c>
      <c r="D317" s="84" t="s">
        <v>593</v>
      </c>
      <c r="E317" s="5" t="s">
        <v>620</v>
      </c>
      <c r="F317" s="76">
        <v>2.4649999999999999</v>
      </c>
      <c r="G317" s="25">
        <v>1121</v>
      </c>
      <c r="H317" s="18">
        <f>F317*AE317</f>
        <v>33.17294092967429</v>
      </c>
      <c r="I317" s="18">
        <f>J317-H317</f>
        <v>2730.0920590703254</v>
      </c>
      <c r="J317" s="18">
        <f>F317*G317</f>
        <v>2763.2649999999999</v>
      </c>
      <c r="K317" s="18">
        <v>0.81081999999999999</v>
      </c>
      <c r="L317" s="18">
        <f>F317*K317</f>
        <v>1.9986712999999998</v>
      </c>
      <c r="M317" s="38" t="s">
        <v>643</v>
      </c>
      <c r="P317" s="43">
        <f>IF(AG317="5",J317,0)</f>
        <v>0</v>
      </c>
      <c r="R317" s="43">
        <f>IF(AG317="1",H317,0)</f>
        <v>33.17294092967429</v>
      </c>
      <c r="S317" s="43">
        <f>IF(AG317="1",I317,0)</f>
        <v>2730.0920590703254</v>
      </c>
      <c r="T317" s="43">
        <f>IF(AG317="7",H317,0)</f>
        <v>0</v>
      </c>
      <c r="U317" s="43">
        <f>IF(AG317="7",I317,0)</f>
        <v>0</v>
      </c>
      <c r="V317" s="43">
        <f>IF(AG317="2",H317,0)</f>
        <v>0</v>
      </c>
      <c r="W317" s="43">
        <f>IF(AG317="2",I317,0)</f>
        <v>0</v>
      </c>
      <c r="X317" s="43">
        <f>IF(AG317="0",J317,0)</f>
        <v>0</v>
      </c>
      <c r="Y317" s="34" t="s">
        <v>199</v>
      </c>
      <c r="Z317" s="18">
        <f>IF(AD317=0,J317,0)</f>
        <v>0</v>
      </c>
      <c r="AA317" s="18">
        <f>IF(AD317=15,J317,0)</f>
        <v>0</v>
      </c>
      <c r="AB317" s="18">
        <f>IF(AD317=21,J317,0)</f>
        <v>2763.2649999999999</v>
      </c>
      <c r="AD317" s="43">
        <v>21</v>
      </c>
      <c r="AE317" s="43">
        <f>G317*0.0120049799529449</f>
        <v>13.457582527251233</v>
      </c>
      <c r="AF317" s="43">
        <f>G317*(1-0.0120049799529449)</f>
        <v>1107.5424174727486</v>
      </c>
      <c r="AG317" s="38" t="s">
        <v>7</v>
      </c>
      <c r="AM317" s="43">
        <f>F317*AE317</f>
        <v>33.17294092967429</v>
      </c>
      <c r="AN317" s="43">
        <f>F317*AF317</f>
        <v>2730.0920590703254</v>
      </c>
      <c r="AO317" s="44" t="s">
        <v>661</v>
      </c>
      <c r="AP317" s="44" t="s">
        <v>704</v>
      </c>
      <c r="AQ317" s="34" t="s">
        <v>715</v>
      </c>
      <c r="AS317" s="43">
        <f>AM317+AN317</f>
        <v>2763.2649999999999</v>
      </c>
      <c r="AT317" s="43">
        <f>G317/(100-AU317)*100</f>
        <v>1121</v>
      </c>
      <c r="AU317" s="43">
        <v>0</v>
      </c>
      <c r="AV317" s="43">
        <f>L317</f>
        <v>1.9986712999999998</v>
      </c>
    </row>
    <row r="318" spans="1:48">
      <c r="D318" s="85" t="s">
        <v>594</v>
      </c>
      <c r="F318" s="77">
        <v>1.845</v>
      </c>
      <c r="G318" s="26"/>
    </row>
    <row r="319" spans="1:48">
      <c r="D319" s="85" t="s">
        <v>595</v>
      </c>
      <c r="F319" s="77">
        <v>0.62</v>
      </c>
      <c r="G319" s="26"/>
    </row>
    <row r="320" spans="1:48">
      <c r="A320" s="4"/>
      <c r="B320" s="14" t="s">
        <v>199</v>
      </c>
      <c r="C320" s="14" t="s">
        <v>211</v>
      </c>
      <c r="D320" s="83" t="s">
        <v>362</v>
      </c>
      <c r="E320" s="4" t="s">
        <v>6</v>
      </c>
      <c r="F320" s="4" t="s">
        <v>6</v>
      </c>
      <c r="G320" s="24" t="s">
        <v>6</v>
      </c>
      <c r="H320" s="46">
        <f>SUM(H321:H321)</f>
        <v>0</v>
      </c>
      <c r="I320" s="46">
        <f>SUM(I321:I321)</f>
        <v>45926.495999999999</v>
      </c>
      <c r="J320" s="46">
        <f>H320+I320</f>
        <v>45926.495999999999</v>
      </c>
      <c r="K320" s="34"/>
      <c r="L320" s="46">
        <f>SUM(L321:L321)</f>
        <v>0</v>
      </c>
      <c r="M320" s="34"/>
      <c r="Y320" s="34" t="s">
        <v>199</v>
      </c>
      <c r="AI320" s="46">
        <f>SUM(Z321:Z321)</f>
        <v>0</v>
      </c>
      <c r="AJ320" s="46">
        <f>SUM(AA321:AA321)</f>
        <v>0</v>
      </c>
      <c r="AK320" s="46">
        <f>SUM(AB321:AB321)</f>
        <v>45926.495999999999</v>
      </c>
    </row>
    <row r="321" spans="1:48">
      <c r="A321" s="5" t="s">
        <v>164</v>
      </c>
      <c r="B321" s="5" t="s">
        <v>199</v>
      </c>
      <c r="C321" s="5" t="s">
        <v>338</v>
      </c>
      <c r="D321" s="84" t="s">
        <v>596</v>
      </c>
      <c r="E321" s="5" t="s">
        <v>621</v>
      </c>
      <c r="F321" s="76">
        <v>43.491</v>
      </c>
      <c r="G321" s="25">
        <v>1056</v>
      </c>
      <c r="H321" s="18">
        <f>F321*AE321</f>
        <v>0</v>
      </c>
      <c r="I321" s="18">
        <f>J321-H321</f>
        <v>45926.495999999999</v>
      </c>
      <c r="J321" s="18">
        <f>F321*G321</f>
        <v>45926.495999999999</v>
      </c>
      <c r="K321" s="18">
        <v>0</v>
      </c>
      <c r="L321" s="18">
        <f>F321*K321</f>
        <v>0</v>
      </c>
      <c r="M321" s="38" t="s">
        <v>643</v>
      </c>
      <c r="P321" s="43">
        <f>IF(AG321="5",J321,0)</f>
        <v>45926.495999999999</v>
      </c>
      <c r="R321" s="43">
        <f>IF(AG321="1",H321,0)</f>
        <v>0</v>
      </c>
      <c r="S321" s="43">
        <f>IF(AG321="1",I321,0)</f>
        <v>0</v>
      </c>
      <c r="T321" s="43">
        <f>IF(AG321="7",H321,0)</f>
        <v>0</v>
      </c>
      <c r="U321" s="43">
        <f>IF(AG321="7",I321,0)</f>
        <v>0</v>
      </c>
      <c r="V321" s="43">
        <f>IF(AG321="2",H321,0)</f>
        <v>0</v>
      </c>
      <c r="W321" s="43">
        <f>IF(AG321="2",I321,0)</f>
        <v>0</v>
      </c>
      <c r="X321" s="43">
        <f>IF(AG321="0",J321,0)</f>
        <v>0</v>
      </c>
      <c r="Y321" s="34" t="s">
        <v>199</v>
      </c>
      <c r="Z321" s="18">
        <f>IF(AD321=0,J321,0)</f>
        <v>0</v>
      </c>
      <c r="AA321" s="18">
        <f>IF(AD321=15,J321,0)</f>
        <v>0</v>
      </c>
      <c r="AB321" s="18">
        <f>IF(AD321=21,J321,0)</f>
        <v>45926.495999999999</v>
      </c>
      <c r="AD321" s="43">
        <v>21</v>
      </c>
      <c r="AE321" s="43">
        <f>G321*0</f>
        <v>0</v>
      </c>
      <c r="AF321" s="43">
        <f>G321*(1-0)</f>
        <v>1056</v>
      </c>
      <c r="AG321" s="38" t="s">
        <v>11</v>
      </c>
      <c r="AM321" s="43">
        <f>F321*AE321</f>
        <v>0</v>
      </c>
      <c r="AN321" s="43">
        <f>F321*AF321</f>
        <v>45926.495999999999</v>
      </c>
      <c r="AO321" s="44" t="s">
        <v>658</v>
      </c>
      <c r="AP321" s="44" t="s">
        <v>704</v>
      </c>
      <c r="AQ321" s="34" t="s">
        <v>715</v>
      </c>
      <c r="AS321" s="43">
        <f>AM321+AN321</f>
        <v>45926.495999999999</v>
      </c>
      <c r="AT321" s="43">
        <f>G321/(100-AU321)*100</f>
        <v>1056</v>
      </c>
      <c r="AU321" s="43">
        <v>0</v>
      </c>
      <c r="AV321" s="43">
        <f>L321</f>
        <v>0</v>
      </c>
    </row>
    <row r="322" spans="1:48">
      <c r="A322" s="4"/>
      <c r="B322" s="14" t="s">
        <v>199</v>
      </c>
      <c r="C322" s="14" t="s">
        <v>220</v>
      </c>
      <c r="D322" s="83" t="s">
        <v>378</v>
      </c>
      <c r="E322" s="4" t="s">
        <v>6</v>
      </c>
      <c r="F322" s="4" t="s">
        <v>6</v>
      </c>
      <c r="G322" s="24" t="s">
        <v>6</v>
      </c>
      <c r="H322" s="46">
        <f>SUM(H323:H336)</f>
        <v>27.197152090581884</v>
      </c>
      <c r="I322" s="46">
        <f>SUM(I323:I336)</f>
        <v>21931.488547909419</v>
      </c>
      <c r="J322" s="46">
        <f>H322+I322</f>
        <v>21958.685700000002</v>
      </c>
      <c r="K322" s="34"/>
      <c r="L322" s="46">
        <f>SUM(L323:L336)</f>
        <v>0</v>
      </c>
      <c r="M322" s="34"/>
      <c r="Y322" s="34" t="s">
        <v>199</v>
      </c>
      <c r="AI322" s="46">
        <f>SUM(Z323:Z336)</f>
        <v>0</v>
      </c>
      <c r="AJ322" s="46">
        <f>SUM(AA323:AA336)</f>
        <v>0</v>
      </c>
      <c r="AK322" s="46">
        <f>SUM(AB323:AB336)</f>
        <v>21958.685700000002</v>
      </c>
    </row>
    <row r="323" spans="1:48">
      <c r="A323" s="5" t="s">
        <v>165</v>
      </c>
      <c r="B323" s="5" t="s">
        <v>199</v>
      </c>
      <c r="C323" s="5" t="s">
        <v>310</v>
      </c>
      <c r="D323" s="84" t="s">
        <v>531</v>
      </c>
      <c r="E323" s="5" t="s">
        <v>621</v>
      </c>
      <c r="F323" s="76">
        <v>9.093</v>
      </c>
      <c r="G323" s="25">
        <v>696</v>
      </c>
      <c r="H323" s="18">
        <f>F323*AE323</f>
        <v>0</v>
      </c>
      <c r="I323" s="18">
        <f>J323-H323</f>
        <v>6328.7280000000001</v>
      </c>
      <c r="J323" s="18">
        <f>F323*G323</f>
        <v>6328.7280000000001</v>
      </c>
      <c r="K323" s="18">
        <v>0</v>
      </c>
      <c r="L323" s="18">
        <f>F323*K323</f>
        <v>0</v>
      </c>
      <c r="M323" s="38" t="s">
        <v>643</v>
      </c>
      <c r="P323" s="43">
        <f>IF(AG323="5",J323,0)</f>
        <v>6328.7280000000001</v>
      </c>
      <c r="R323" s="43">
        <f>IF(AG323="1",H323,0)</f>
        <v>0</v>
      </c>
      <c r="S323" s="43">
        <f>IF(AG323="1",I323,0)</f>
        <v>0</v>
      </c>
      <c r="T323" s="43">
        <f>IF(AG323="7",H323,0)</f>
        <v>0</v>
      </c>
      <c r="U323" s="43">
        <f>IF(AG323="7",I323,0)</f>
        <v>0</v>
      </c>
      <c r="V323" s="43">
        <f>IF(AG323="2",H323,0)</f>
        <v>0</v>
      </c>
      <c r="W323" s="43">
        <f>IF(AG323="2",I323,0)</f>
        <v>0</v>
      </c>
      <c r="X323" s="43">
        <f>IF(AG323="0",J323,0)</f>
        <v>0</v>
      </c>
      <c r="Y323" s="34" t="s">
        <v>199</v>
      </c>
      <c r="Z323" s="18">
        <f>IF(AD323=0,J323,0)</f>
        <v>0</v>
      </c>
      <c r="AA323" s="18">
        <f>IF(AD323=15,J323,0)</f>
        <v>0</v>
      </c>
      <c r="AB323" s="18">
        <f>IF(AD323=21,J323,0)</f>
        <v>6328.7280000000001</v>
      </c>
      <c r="AD323" s="43">
        <v>21</v>
      </c>
      <c r="AE323" s="43">
        <f>G323*0</f>
        <v>0</v>
      </c>
      <c r="AF323" s="43">
        <f>G323*(1-0)</f>
        <v>696</v>
      </c>
      <c r="AG323" s="38" t="s">
        <v>11</v>
      </c>
      <c r="AM323" s="43">
        <f>F323*AE323</f>
        <v>0</v>
      </c>
      <c r="AN323" s="43">
        <f>F323*AF323</f>
        <v>6328.7280000000001</v>
      </c>
      <c r="AO323" s="44" t="s">
        <v>662</v>
      </c>
      <c r="AP323" s="44" t="s">
        <v>704</v>
      </c>
      <c r="AQ323" s="34" t="s">
        <v>715</v>
      </c>
      <c r="AS323" s="43">
        <f>AM323+AN323</f>
        <v>6328.7280000000001</v>
      </c>
      <c r="AT323" s="43">
        <f>G323/(100-AU323)*100</f>
        <v>696</v>
      </c>
      <c r="AU323" s="43">
        <v>0</v>
      </c>
      <c r="AV323" s="43">
        <f>L323</f>
        <v>0</v>
      </c>
    </row>
    <row r="324" spans="1:48">
      <c r="D324" s="85" t="s">
        <v>597</v>
      </c>
      <c r="F324" s="77">
        <v>9.093</v>
      </c>
      <c r="G324" s="26"/>
    </row>
    <row r="325" spans="1:48">
      <c r="A325" s="5" t="s">
        <v>166</v>
      </c>
      <c r="B325" s="5" t="s">
        <v>199</v>
      </c>
      <c r="C325" s="5" t="s">
        <v>311</v>
      </c>
      <c r="D325" s="84" t="s">
        <v>535</v>
      </c>
      <c r="E325" s="5" t="s">
        <v>621</v>
      </c>
      <c r="F325" s="76">
        <v>18.186</v>
      </c>
      <c r="G325" s="25">
        <v>113</v>
      </c>
      <c r="H325" s="18">
        <f>F325*AE325</f>
        <v>0</v>
      </c>
      <c r="I325" s="18">
        <f>J325-H325</f>
        <v>2055.018</v>
      </c>
      <c r="J325" s="18">
        <f>F325*G325</f>
        <v>2055.018</v>
      </c>
      <c r="K325" s="18">
        <v>0</v>
      </c>
      <c r="L325" s="18">
        <f>F325*K325</f>
        <v>0</v>
      </c>
      <c r="M325" s="38" t="s">
        <v>643</v>
      </c>
      <c r="P325" s="43">
        <f>IF(AG325="5",J325,0)</f>
        <v>2055.018</v>
      </c>
      <c r="R325" s="43">
        <f>IF(AG325="1",H325,0)</f>
        <v>0</v>
      </c>
      <c r="S325" s="43">
        <f>IF(AG325="1",I325,0)</f>
        <v>0</v>
      </c>
      <c r="T325" s="43">
        <f>IF(AG325="7",H325,0)</f>
        <v>0</v>
      </c>
      <c r="U325" s="43">
        <f>IF(AG325="7",I325,0)</f>
        <v>0</v>
      </c>
      <c r="V325" s="43">
        <f>IF(AG325="2",H325,0)</f>
        <v>0</v>
      </c>
      <c r="W325" s="43">
        <f>IF(AG325="2",I325,0)</f>
        <v>0</v>
      </c>
      <c r="X325" s="43">
        <f>IF(AG325="0",J325,0)</f>
        <v>0</v>
      </c>
      <c r="Y325" s="34" t="s">
        <v>199</v>
      </c>
      <c r="Z325" s="18">
        <f>IF(AD325=0,J325,0)</f>
        <v>0</v>
      </c>
      <c r="AA325" s="18">
        <f>IF(AD325=15,J325,0)</f>
        <v>0</v>
      </c>
      <c r="AB325" s="18">
        <f>IF(AD325=21,J325,0)</f>
        <v>2055.018</v>
      </c>
      <c r="AD325" s="43">
        <v>21</v>
      </c>
      <c r="AE325" s="43">
        <f>G325*0</f>
        <v>0</v>
      </c>
      <c r="AF325" s="43">
        <f>G325*(1-0)</f>
        <v>113</v>
      </c>
      <c r="AG325" s="38" t="s">
        <v>11</v>
      </c>
      <c r="AM325" s="43">
        <f>F325*AE325</f>
        <v>0</v>
      </c>
      <c r="AN325" s="43">
        <f>F325*AF325</f>
        <v>2055.018</v>
      </c>
      <c r="AO325" s="44" t="s">
        <v>662</v>
      </c>
      <c r="AP325" s="44" t="s">
        <v>704</v>
      </c>
      <c r="AQ325" s="34" t="s">
        <v>715</v>
      </c>
      <c r="AS325" s="43">
        <f>AM325+AN325</f>
        <v>2055.018</v>
      </c>
      <c r="AT325" s="43">
        <f>G325/(100-AU325)*100</f>
        <v>112.99999999999999</v>
      </c>
      <c r="AU325" s="43">
        <v>0</v>
      </c>
      <c r="AV325" s="43">
        <f>L325</f>
        <v>0</v>
      </c>
    </row>
    <row r="326" spans="1:48">
      <c r="D326" s="85" t="s">
        <v>598</v>
      </c>
      <c r="F326" s="77">
        <v>18.186</v>
      </c>
      <c r="G326" s="26"/>
    </row>
    <row r="327" spans="1:48">
      <c r="A327" s="5" t="s">
        <v>167</v>
      </c>
      <c r="B327" s="5" t="s">
        <v>199</v>
      </c>
      <c r="C327" s="5" t="s">
        <v>313</v>
      </c>
      <c r="D327" s="84" t="s">
        <v>539</v>
      </c>
      <c r="E327" s="5" t="s">
        <v>621</v>
      </c>
      <c r="F327" s="76">
        <v>9.093</v>
      </c>
      <c r="G327" s="25">
        <v>294</v>
      </c>
      <c r="H327" s="18">
        <f>F327*AE327</f>
        <v>0</v>
      </c>
      <c r="I327" s="18">
        <f>J327-H327</f>
        <v>2673.3420000000001</v>
      </c>
      <c r="J327" s="18">
        <f>F327*G327</f>
        <v>2673.3420000000001</v>
      </c>
      <c r="K327" s="18">
        <v>0</v>
      </c>
      <c r="L327" s="18">
        <f>F327*K327</f>
        <v>0</v>
      </c>
      <c r="M327" s="38" t="s">
        <v>643</v>
      </c>
      <c r="P327" s="43">
        <f>IF(AG327="5",J327,0)</f>
        <v>2673.3420000000001</v>
      </c>
      <c r="R327" s="43">
        <f>IF(AG327="1",H327,0)</f>
        <v>0</v>
      </c>
      <c r="S327" s="43">
        <f>IF(AG327="1",I327,0)</f>
        <v>0</v>
      </c>
      <c r="T327" s="43">
        <f>IF(AG327="7",H327,0)</f>
        <v>0</v>
      </c>
      <c r="U327" s="43">
        <f>IF(AG327="7",I327,0)</f>
        <v>0</v>
      </c>
      <c r="V327" s="43">
        <f>IF(AG327="2",H327,0)</f>
        <v>0</v>
      </c>
      <c r="W327" s="43">
        <f>IF(AG327="2",I327,0)</f>
        <v>0</v>
      </c>
      <c r="X327" s="43">
        <f>IF(AG327="0",J327,0)</f>
        <v>0</v>
      </c>
      <c r="Y327" s="34" t="s">
        <v>199</v>
      </c>
      <c r="Z327" s="18">
        <f>IF(AD327=0,J327,0)</f>
        <v>0</v>
      </c>
      <c r="AA327" s="18">
        <f>IF(AD327=15,J327,0)</f>
        <v>0</v>
      </c>
      <c r="AB327" s="18">
        <f>IF(AD327=21,J327,0)</f>
        <v>2673.3420000000001</v>
      </c>
      <c r="AD327" s="43">
        <v>21</v>
      </c>
      <c r="AE327" s="43">
        <f>G327*0</f>
        <v>0</v>
      </c>
      <c r="AF327" s="43">
        <f>G327*(1-0)</f>
        <v>294</v>
      </c>
      <c r="AG327" s="38" t="s">
        <v>11</v>
      </c>
      <c r="AM327" s="43">
        <f>F327*AE327</f>
        <v>0</v>
      </c>
      <c r="AN327" s="43">
        <f>F327*AF327</f>
        <v>2673.3420000000001</v>
      </c>
      <c r="AO327" s="44" t="s">
        <v>662</v>
      </c>
      <c r="AP327" s="44" t="s">
        <v>704</v>
      </c>
      <c r="AQ327" s="34" t="s">
        <v>715</v>
      </c>
      <c r="AS327" s="43">
        <f>AM327+AN327</f>
        <v>2673.3420000000001</v>
      </c>
      <c r="AT327" s="43">
        <f>G327/(100-AU327)*100</f>
        <v>294</v>
      </c>
      <c r="AU327" s="43">
        <v>0</v>
      </c>
      <c r="AV327" s="43">
        <f>L327</f>
        <v>0</v>
      </c>
    </row>
    <row r="328" spans="1:48">
      <c r="D328" s="85" t="s">
        <v>599</v>
      </c>
      <c r="F328" s="77">
        <v>9.093</v>
      </c>
      <c r="G328" s="26"/>
    </row>
    <row r="329" spans="1:48">
      <c r="A329" s="5" t="s">
        <v>168</v>
      </c>
      <c r="B329" s="5" t="s">
        <v>199</v>
      </c>
      <c r="C329" s="5" t="s">
        <v>312</v>
      </c>
      <c r="D329" s="84" t="s">
        <v>537</v>
      </c>
      <c r="E329" s="5" t="s">
        <v>621</v>
      </c>
      <c r="F329" s="76">
        <v>27.279</v>
      </c>
      <c r="G329" s="25">
        <v>127</v>
      </c>
      <c r="H329" s="18">
        <f>F329*AE329</f>
        <v>0</v>
      </c>
      <c r="I329" s="18">
        <f>J329-H329</f>
        <v>3464.433</v>
      </c>
      <c r="J329" s="18">
        <f>F329*G329</f>
        <v>3464.433</v>
      </c>
      <c r="K329" s="18">
        <v>0</v>
      </c>
      <c r="L329" s="18">
        <f>F329*K329</f>
        <v>0</v>
      </c>
      <c r="M329" s="38" t="s">
        <v>643</v>
      </c>
      <c r="P329" s="43">
        <f>IF(AG329="5",J329,0)</f>
        <v>3464.433</v>
      </c>
      <c r="R329" s="43">
        <f>IF(AG329="1",H329,0)</f>
        <v>0</v>
      </c>
      <c r="S329" s="43">
        <f>IF(AG329="1",I329,0)</f>
        <v>0</v>
      </c>
      <c r="T329" s="43">
        <f>IF(AG329="7",H329,0)</f>
        <v>0</v>
      </c>
      <c r="U329" s="43">
        <f>IF(AG329="7",I329,0)</f>
        <v>0</v>
      </c>
      <c r="V329" s="43">
        <f>IF(AG329="2",H329,0)</f>
        <v>0</v>
      </c>
      <c r="W329" s="43">
        <f>IF(AG329="2",I329,0)</f>
        <v>0</v>
      </c>
      <c r="X329" s="43">
        <f>IF(AG329="0",J329,0)</f>
        <v>0</v>
      </c>
      <c r="Y329" s="34" t="s">
        <v>199</v>
      </c>
      <c r="Z329" s="18">
        <f>IF(AD329=0,J329,0)</f>
        <v>0</v>
      </c>
      <c r="AA329" s="18">
        <f>IF(AD329=15,J329,0)</f>
        <v>0</v>
      </c>
      <c r="AB329" s="18">
        <f>IF(AD329=21,J329,0)</f>
        <v>3464.433</v>
      </c>
      <c r="AD329" s="43">
        <v>21</v>
      </c>
      <c r="AE329" s="43">
        <f>G329*0</f>
        <v>0</v>
      </c>
      <c r="AF329" s="43">
        <f>G329*(1-0)</f>
        <v>127</v>
      </c>
      <c r="AG329" s="38" t="s">
        <v>11</v>
      </c>
      <c r="AM329" s="43">
        <f>F329*AE329</f>
        <v>0</v>
      </c>
      <c r="AN329" s="43">
        <f>F329*AF329</f>
        <v>3464.433</v>
      </c>
      <c r="AO329" s="44" t="s">
        <v>662</v>
      </c>
      <c r="AP329" s="44" t="s">
        <v>704</v>
      </c>
      <c r="AQ329" s="34" t="s">
        <v>715</v>
      </c>
      <c r="AS329" s="43">
        <f>AM329+AN329</f>
        <v>3464.433</v>
      </c>
      <c r="AT329" s="43">
        <f>G329/(100-AU329)*100</f>
        <v>127</v>
      </c>
      <c r="AU329" s="43">
        <v>0</v>
      </c>
      <c r="AV329" s="43">
        <f>L329</f>
        <v>0</v>
      </c>
    </row>
    <row r="330" spans="1:48">
      <c r="D330" s="85" t="s">
        <v>600</v>
      </c>
      <c r="F330" s="77">
        <v>27.279</v>
      </c>
      <c r="G330" s="26"/>
    </row>
    <row r="331" spans="1:48">
      <c r="A331" s="5" t="s">
        <v>169</v>
      </c>
      <c r="B331" s="5" t="s">
        <v>199</v>
      </c>
      <c r="C331" s="5" t="s">
        <v>224</v>
      </c>
      <c r="D331" s="84" t="s">
        <v>384</v>
      </c>
      <c r="E331" s="5" t="s">
        <v>621</v>
      </c>
      <c r="F331" s="76">
        <v>9.093</v>
      </c>
      <c r="G331" s="25">
        <v>9.9</v>
      </c>
      <c r="H331" s="18">
        <f>F331*AE331</f>
        <v>0</v>
      </c>
      <c r="I331" s="18">
        <f>J331-H331</f>
        <v>90.020700000000005</v>
      </c>
      <c r="J331" s="18">
        <f>F331*G331</f>
        <v>90.020700000000005</v>
      </c>
      <c r="K331" s="18">
        <v>0</v>
      </c>
      <c r="L331" s="18">
        <f>F331*K331</f>
        <v>0</v>
      </c>
      <c r="M331" s="38" t="s">
        <v>643</v>
      </c>
      <c r="P331" s="43">
        <f>IF(AG331="5",J331,0)</f>
        <v>90.020700000000005</v>
      </c>
      <c r="R331" s="43">
        <f>IF(AG331="1",H331,0)</f>
        <v>0</v>
      </c>
      <c r="S331" s="43">
        <f>IF(AG331="1",I331,0)</f>
        <v>0</v>
      </c>
      <c r="T331" s="43">
        <f>IF(AG331="7",H331,0)</f>
        <v>0</v>
      </c>
      <c r="U331" s="43">
        <f>IF(AG331="7",I331,0)</f>
        <v>0</v>
      </c>
      <c r="V331" s="43">
        <f>IF(AG331="2",H331,0)</f>
        <v>0</v>
      </c>
      <c r="W331" s="43">
        <f>IF(AG331="2",I331,0)</f>
        <v>0</v>
      </c>
      <c r="X331" s="43">
        <f>IF(AG331="0",J331,0)</f>
        <v>0</v>
      </c>
      <c r="Y331" s="34" t="s">
        <v>199</v>
      </c>
      <c r="Z331" s="18">
        <f>IF(AD331=0,J331,0)</f>
        <v>0</v>
      </c>
      <c r="AA331" s="18">
        <f>IF(AD331=15,J331,0)</f>
        <v>0</v>
      </c>
      <c r="AB331" s="18">
        <f>IF(AD331=21,J331,0)</f>
        <v>90.020700000000005</v>
      </c>
      <c r="AD331" s="43">
        <v>21</v>
      </c>
      <c r="AE331" s="43">
        <f>G331*0</f>
        <v>0</v>
      </c>
      <c r="AF331" s="43">
        <f>G331*(1-0)</f>
        <v>9.9</v>
      </c>
      <c r="AG331" s="38" t="s">
        <v>11</v>
      </c>
      <c r="AM331" s="43">
        <f>F331*AE331</f>
        <v>0</v>
      </c>
      <c r="AN331" s="43">
        <f>F331*AF331</f>
        <v>90.020700000000005</v>
      </c>
      <c r="AO331" s="44" t="s">
        <v>662</v>
      </c>
      <c r="AP331" s="44" t="s">
        <v>704</v>
      </c>
      <c r="AQ331" s="34" t="s">
        <v>715</v>
      </c>
      <c r="AS331" s="43">
        <f>AM331+AN331</f>
        <v>90.020700000000005</v>
      </c>
      <c r="AT331" s="43">
        <f>G331/(100-AU331)*100</f>
        <v>9.9</v>
      </c>
      <c r="AU331" s="43">
        <v>0</v>
      </c>
      <c r="AV331" s="43">
        <f>L331</f>
        <v>0</v>
      </c>
    </row>
    <row r="332" spans="1:48">
      <c r="A332" s="5" t="s">
        <v>170</v>
      </c>
      <c r="B332" s="5" t="s">
        <v>199</v>
      </c>
      <c r="C332" s="5" t="s">
        <v>245</v>
      </c>
      <c r="D332" s="84" t="s">
        <v>436</v>
      </c>
      <c r="E332" s="5" t="s">
        <v>621</v>
      </c>
      <c r="F332" s="76">
        <v>9.093</v>
      </c>
      <c r="G332" s="25">
        <v>100</v>
      </c>
      <c r="H332" s="18">
        <f>F332*AE332</f>
        <v>0</v>
      </c>
      <c r="I332" s="18">
        <f>J332-H332</f>
        <v>909.3</v>
      </c>
      <c r="J332" s="18">
        <f>F332*G332</f>
        <v>909.3</v>
      </c>
      <c r="K332" s="18">
        <v>0</v>
      </c>
      <c r="L332" s="18">
        <f>F332*K332</f>
        <v>0</v>
      </c>
      <c r="M332" s="38" t="s">
        <v>643</v>
      </c>
      <c r="P332" s="43">
        <f>IF(AG332="5",J332,0)</f>
        <v>909.3</v>
      </c>
      <c r="R332" s="43">
        <f>IF(AG332="1",H332,0)</f>
        <v>0</v>
      </c>
      <c r="S332" s="43">
        <f>IF(AG332="1",I332,0)</f>
        <v>0</v>
      </c>
      <c r="T332" s="43">
        <f>IF(AG332="7",H332,0)</f>
        <v>0</v>
      </c>
      <c r="U332" s="43">
        <f>IF(AG332="7",I332,0)</f>
        <v>0</v>
      </c>
      <c r="V332" s="43">
        <f>IF(AG332="2",H332,0)</f>
        <v>0</v>
      </c>
      <c r="W332" s="43">
        <f>IF(AG332="2",I332,0)</f>
        <v>0</v>
      </c>
      <c r="X332" s="43">
        <f>IF(AG332="0",J332,0)</f>
        <v>0</v>
      </c>
      <c r="Y332" s="34" t="s">
        <v>199</v>
      </c>
      <c r="Z332" s="18">
        <f>IF(AD332=0,J332,0)</f>
        <v>0</v>
      </c>
      <c r="AA332" s="18">
        <f>IF(AD332=15,J332,0)</f>
        <v>0</v>
      </c>
      <c r="AB332" s="18">
        <f>IF(AD332=21,J332,0)</f>
        <v>909.3</v>
      </c>
      <c r="AD332" s="43">
        <v>21</v>
      </c>
      <c r="AE332" s="43">
        <f>G332*0</f>
        <v>0</v>
      </c>
      <c r="AF332" s="43">
        <f>G332*(1-0)</f>
        <v>100</v>
      </c>
      <c r="AG332" s="38" t="s">
        <v>11</v>
      </c>
      <c r="AM332" s="43">
        <f>F332*AE332</f>
        <v>0</v>
      </c>
      <c r="AN332" s="43">
        <f>F332*AF332</f>
        <v>909.3</v>
      </c>
      <c r="AO332" s="44" t="s">
        <v>662</v>
      </c>
      <c r="AP332" s="44" t="s">
        <v>704</v>
      </c>
      <c r="AQ332" s="34" t="s">
        <v>715</v>
      </c>
      <c r="AS332" s="43">
        <f>AM332+AN332</f>
        <v>909.3</v>
      </c>
      <c r="AT332" s="43">
        <f>G332/(100-AU332)*100</f>
        <v>100</v>
      </c>
      <c r="AU332" s="43">
        <v>0</v>
      </c>
      <c r="AV332" s="43">
        <f>L332</f>
        <v>0</v>
      </c>
    </row>
    <row r="333" spans="1:48">
      <c r="A333" s="5" t="s">
        <v>171</v>
      </c>
      <c r="B333" s="5" t="s">
        <v>199</v>
      </c>
      <c r="C333" s="5" t="s">
        <v>223</v>
      </c>
      <c r="D333" s="84" t="s">
        <v>383</v>
      </c>
      <c r="E333" s="5" t="s">
        <v>621</v>
      </c>
      <c r="F333" s="76">
        <v>9.093</v>
      </c>
      <c r="G333" s="25">
        <v>329</v>
      </c>
      <c r="H333" s="18">
        <f>F333*AE333</f>
        <v>27.197152090581884</v>
      </c>
      <c r="I333" s="18">
        <f>J333-H333</f>
        <v>2964.3998479094184</v>
      </c>
      <c r="J333" s="18">
        <f>F333*G333</f>
        <v>2991.5970000000002</v>
      </c>
      <c r="K333" s="18">
        <v>0</v>
      </c>
      <c r="L333" s="18">
        <f>F333*K333</f>
        <v>0</v>
      </c>
      <c r="M333" s="38" t="s">
        <v>643</v>
      </c>
      <c r="P333" s="43">
        <f>IF(AG333="5",J333,0)</f>
        <v>2991.5970000000002</v>
      </c>
      <c r="R333" s="43">
        <f>IF(AG333="1",H333,0)</f>
        <v>0</v>
      </c>
      <c r="S333" s="43">
        <f>IF(AG333="1",I333,0)</f>
        <v>0</v>
      </c>
      <c r="T333" s="43">
        <f>IF(AG333="7",H333,0)</f>
        <v>0</v>
      </c>
      <c r="U333" s="43">
        <f>IF(AG333="7",I333,0)</f>
        <v>0</v>
      </c>
      <c r="V333" s="43">
        <f>IF(AG333="2",H333,0)</f>
        <v>0</v>
      </c>
      <c r="W333" s="43">
        <f>IF(AG333="2",I333,0)</f>
        <v>0</v>
      </c>
      <c r="X333" s="43">
        <f>IF(AG333="0",J333,0)</f>
        <v>0</v>
      </c>
      <c r="Y333" s="34" t="s">
        <v>199</v>
      </c>
      <c r="Z333" s="18">
        <f>IF(AD333=0,J333,0)</f>
        <v>0</v>
      </c>
      <c r="AA333" s="18">
        <f>IF(AD333=15,J333,0)</f>
        <v>0</v>
      </c>
      <c r="AB333" s="18">
        <f>IF(AD333=21,J333,0)</f>
        <v>2991.5970000000002</v>
      </c>
      <c r="AD333" s="43">
        <v>21</v>
      </c>
      <c r="AE333" s="43">
        <f>G333*0.00909118176364727</f>
        <v>2.9909988002399519</v>
      </c>
      <c r="AF333" s="43">
        <f>G333*(1-0.00909118176364727)</f>
        <v>326.00900119976001</v>
      </c>
      <c r="AG333" s="38" t="s">
        <v>11</v>
      </c>
      <c r="AM333" s="43">
        <f>F333*AE333</f>
        <v>27.197152090581884</v>
      </c>
      <c r="AN333" s="43">
        <f>F333*AF333</f>
        <v>2964.3998479094175</v>
      </c>
      <c r="AO333" s="44" t="s">
        <v>662</v>
      </c>
      <c r="AP333" s="44" t="s">
        <v>704</v>
      </c>
      <c r="AQ333" s="34" t="s">
        <v>715</v>
      </c>
      <c r="AS333" s="43">
        <f>AM333+AN333</f>
        <v>2991.5969999999993</v>
      </c>
      <c r="AT333" s="43">
        <f>G333/(100-AU333)*100</f>
        <v>329</v>
      </c>
      <c r="AU333" s="43">
        <v>0</v>
      </c>
      <c r="AV333" s="43">
        <f>L333</f>
        <v>0</v>
      </c>
    </row>
    <row r="334" spans="1:48">
      <c r="A334" s="5" t="s">
        <v>172</v>
      </c>
      <c r="B334" s="5" t="s">
        <v>199</v>
      </c>
      <c r="C334" s="5" t="s">
        <v>225</v>
      </c>
      <c r="D334" s="84" t="s">
        <v>385</v>
      </c>
      <c r="E334" s="5" t="s">
        <v>621</v>
      </c>
      <c r="F334" s="76">
        <v>90.93</v>
      </c>
      <c r="G334" s="25">
        <v>7.9</v>
      </c>
      <c r="H334" s="18">
        <f>F334*AE334</f>
        <v>0</v>
      </c>
      <c r="I334" s="18">
        <f>J334-H334</f>
        <v>718.34700000000009</v>
      </c>
      <c r="J334" s="18">
        <f>F334*G334</f>
        <v>718.34700000000009</v>
      </c>
      <c r="K334" s="18">
        <v>0</v>
      </c>
      <c r="L334" s="18">
        <f>F334*K334</f>
        <v>0</v>
      </c>
      <c r="M334" s="38" t="s">
        <v>643</v>
      </c>
      <c r="P334" s="43">
        <f>IF(AG334="5",J334,0)</f>
        <v>718.34700000000009</v>
      </c>
      <c r="R334" s="43">
        <f>IF(AG334="1",H334,0)</f>
        <v>0</v>
      </c>
      <c r="S334" s="43">
        <f>IF(AG334="1",I334,0)</f>
        <v>0</v>
      </c>
      <c r="T334" s="43">
        <f>IF(AG334="7",H334,0)</f>
        <v>0</v>
      </c>
      <c r="U334" s="43">
        <f>IF(AG334="7",I334,0)</f>
        <v>0</v>
      </c>
      <c r="V334" s="43">
        <f>IF(AG334="2",H334,0)</f>
        <v>0</v>
      </c>
      <c r="W334" s="43">
        <f>IF(AG334="2",I334,0)</f>
        <v>0</v>
      </c>
      <c r="X334" s="43">
        <f>IF(AG334="0",J334,0)</f>
        <v>0</v>
      </c>
      <c r="Y334" s="34" t="s">
        <v>199</v>
      </c>
      <c r="Z334" s="18">
        <f>IF(AD334=0,J334,0)</f>
        <v>0</v>
      </c>
      <c r="AA334" s="18">
        <f>IF(AD334=15,J334,0)</f>
        <v>0</v>
      </c>
      <c r="AB334" s="18">
        <f>IF(AD334=21,J334,0)</f>
        <v>718.34700000000009</v>
      </c>
      <c r="AD334" s="43">
        <v>21</v>
      </c>
      <c r="AE334" s="43">
        <f>G334*0</f>
        <v>0</v>
      </c>
      <c r="AF334" s="43">
        <f>G334*(1-0)</f>
        <v>7.9</v>
      </c>
      <c r="AG334" s="38" t="s">
        <v>11</v>
      </c>
      <c r="AM334" s="43">
        <f>F334*AE334</f>
        <v>0</v>
      </c>
      <c r="AN334" s="43">
        <f>F334*AF334</f>
        <v>718.34700000000009</v>
      </c>
      <c r="AO334" s="44" t="s">
        <v>662</v>
      </c>
      <c r="AP334" s="44" t="s">
        <v>704</v>
      </c>
      <c r="AQ334" s="34" t="s">
        <v>715</v>
      </c>
      <c r="AS334" s="43">
        <f>AM334+AN334</f>
        <v>718.34700000000009</v>
      </c>
      <c r="AT334" s="43">
        <f>G334/(100-AU334)*100</f>
        <v>7.9</v>
      </c>
      <c r="AU334" s="43">
        <v>0</v>
      </c>
      <c r="AV334" s="43">
        <f>L334</f>
        <v>0</v>
      </c>
    </row>
    <row r="335" spans="1:48">
      <c r="D335" s="85" t="s">
        <v>601</v>
      </c>
      <c r="F335" s="77">
        <v>90.93</v>
      </c>
      <c r="G335" s="26"/>
    </row>
    <row r="336" spans="1:48">
      <c r="A336" s="5" t="s">
        <v>173</v>
      </c>
      <c r="B336" s="5" t="s">
        <v>199</v>
      </c>
      <c r="C336" s="5" t="s">
        <v>226</v>
      </c>
      <c r="D336" s="84" t="s">
        <v>387</v>
      </c>
      <c r="E336" s="5" t="s">
        <v>621</v>
      </c>
      <c r="F336" s="76">
        <v>9.093</v>
      </c>
      <c r="G336" s="25">
        <v>300</v>
      </c>
      <c r="H336" s="18">
        <f>F336*AE336</f>
        <v>0</v>
      </c>
      <c r="I336" s="18">
        <f>J336-H336</f>
        <v>2727.9</v>
      </c>
      <c r="J336" s="18">
        <f>F336*G336</f>
        <v>2727.9</v>
      </c>
      <c r="K336" s="18">
        <v>0</v>
      </c>
      <c r="L336" s="18">
        <f>F336*K336</f>
        <v>0</v>
      </c>
      <c r="M336" s="38" t="s">
        <v>643</v>
      </c>
      <c r="P336" s="43">
        <f>IF(AG336="5",J336,0)</f>
        <v>2727.9</v>
      </c>
      <c r="R336" s="43">
        <f>IF(AG336="1",H336,0)</f>
        <v>0</v>
      </c>
      <c r="S336" s="43">
        <f>IF(AG336="1",I336,0)</f>
        <v>0</v>
      </c>
      <c r="T336" s="43">
        <f>IF(AG336="7",H336,0)</f>
        <v>0</v>
      </c>
      <c r="U336" s="43">
        <f>IF(AG336="7",I336,0)</f>
        <v>0</v>
      </c>
      <c r="V336" s="43">
        <f>IF(AG336="2",H336,0)</f>
        <v>0</v>
      </c>
      <c r="W336" s="43">
        <f>IF(AG336="2",I336,0)</f>
        <v>0</v>
      </c>
      <c r="X336" s="43">
        <f>IF(AG336="0",J336,0)</f>
        <v>0</v>
      </c>
      <c r="Y336" s="34" t="s">
        <v>199</v>
      </c>
      <c r="Z336" s="18">
        <f>IF(AD336=0,J336,0)</f>
        <v>0</v>
      </c>
      <c r="AA336" s="18">
        <f>IF(AD336=15,J336,0)</f>
        <v>0</v>
      </c>
      <c r="AB336" s="18">
        <f>IF(AD336=21,J336,0)</f>
        <v>2727.9</v>
      </c>
      <c r="AD336" s="43">
        <v>21</v>
      </c>
      <c r="AE336" s="43">
        <f>G336*0</f>
        <v>0</v>
      </c>
      <c r="AF336" s="43">
        <f>G336*(1-0)</f>
        <v>300</v>
      </c>
      <c r="AG336" s="38" t="s">
        <v>11</v>
      </c>
      <c r="AM336" s="43">
        <f>F336*AE336</f>
        <v>0</v>
      </c>
      <c r="AN336" s="43">
        <f>F336*AF336</f>
        <v>2727.9</v>
      </c>
      <c r="AO336" s="44" t="s">
        <v>662</v>
      </c>
      <c r="AP336" s="44" t="s">
        <v>704</v>
      </c>
      <c r="AQ336" s="34" t="s">
        <v>715</v>
      </c>
      <c r="AS336" s="43">
        <f>AM336+AN336</f>
        <v>2727.9</v>
      </c>
      <c r="AT336" s="43">
        <f>G336/(100-AU336)*100</f>
        <v>300</v>
      </c>
      <c r="AU336" s="43">
        <v>0</v>
      </c>
      <c r="AV336" s="43">
        <f>L336</f>
        <v>0</v>
      </c>
    </row>
    <row r="337" spans="1:48">
      <c r="A337" s="7"/>
      <c r="B337" s="15" t="s">
        <v>200</v>
      </c>
      <c r="C337" s="15"/>
      <c r="D337" s="87" t="s">
        <v>602</v>
      </c>
      <c r="E337" s="7" t="s">
        <v>6</v>
      </c>
      <c r="F337" s="7" t="s">
        <v>6</v>
      </c>
      <c r="G337" s="28" t="s">
        <v>6</v>
      </c>
      <c r="H337" s="47">
        <f>H338+H341+H344+H347+H353+H356</f>
        <v>36179.809437483476</v>
      </c>
      <c r="I337" s="47">
        <f>I338+I341+I344+I347+I353+I356</f>
        <v>631969.37876251654</v>
      </c>
      <c r="J337" s="47">
        <f>H337+I337</f>
        <v>668149.18819999998</v>
      </c>
      <c r="K337" s="35"/>
      <c r="L337" s="47">
        <f>L338+L341+L344+L347+L353+L356</f>
        <v>14.789886410000001</v>
      </c>
      <c r="M337" s="35"/>
    </row>
    <row r="338" spans="1:48">
      <c r="A338" s="4"/>
      <c r="B338" s="14" t="s">
        <v>200</v>
      </c>
      <c r="C338" s="14" t="s">
        <v>40</v>
      </c>
      <c r="D338" s="83" t="s">
        <v>603</v>
      </c>
      <c r="E338" s="4" t="s">
        <v>6</v>
      </c>
      <c r="F338" s="4" t="s">
        <v>6</v>
      </c>
      <c r="G338" s="24" t="s">
        <v>6</v>
      </c>
      <c r="H338" s="46">
        <f>SUM(H339:H339)</f>
        <v>14174.939999999988</v>
      </c>
      <c r="I338" s="46">
        <f>SUM(I339:I339)</f>
        <v>25605.060000000012</v>
      </c>
      <c r="J338" s="46">
        <f>H338+I338</f>
        <v>39780</v>
      </c>
      <c r="K338" s="34"/>
      <c r="L338" s="46">
        <f>SUM(L339:L339)</f>
        <v>0.75337200000000004</v>
      </c>
      <c r="M338" s="34"/>
      <c r="Y338" s="34" t="s">
        <v>200</v>
      </c>
      <c r="AI338" s="46">
        <f>SUM(Z339:Z339)</f>
        <v>0</v>
      </c>
      <c r="AJ338" s="46">
        <f>SUM(AA339:AA339)</f>
        <v>0</v>
      </c>
      <c r="AK338" s="46">
        <f>SUM(AB339:AB339)</f>
        <v>39780</v>
      </c>
    </row>
    <row r="339" spans="1:48">
      <c r="A339" s="5" t="s">
        <v>174</v>
      </c>
      <c r="B339" s="5" t="s">
        <v>200</v>
      </c>
      <c r="C339" s="5" t="s">
        <v>339</v>
      </c>
      <c r="D339" s="84" t="s">
        <v>604</v>
      </c>
      <c r="E339" s="5" t="s">
        <v>620</v>
      </c>
      <c r="F339" s="76">
        <v>61.2</v>
      </c>
      <c r="G339" s="25">
        <v>650</v>
      </c>
      <c r="H339" s="18">
        <f>F339*AE339</f>
        <v>14174.939999999988</v>
      </c>
      <c r="I339" s="18">
        <f>J339-H339</f>
        <v>25605.060000000012</v>
      </c>
      <c r="J339" s="18">
        <f>F339*G339</f>
        <v>39780</v>
      </c>
      <c r="K339" s="18">
        <v>1.231E-2</v>
      </c>
      <c r="L339" s="18">
        <f>F339*K339</f>
        <v>0.75337200000000004</v>
      </c>
      <c r="M339" s="38" t="s">
        <v>643</v>
      </c>
      <c r="P339" s="43">
        <f>IF(AG339="5",J339,0)</f>
        <v>0</v>
      </c>
      <c r="R339" s="43">
        <f>IF(AG339="1",H339,0)</f>
        <v>14174.939999999988</v>
      </c>
      <c r="S339" s="43">
        <f>IF(AG339="1",I339,0)</f>
        <v>25605.060000000012</v>
      </c>
      <c r="T339" s="43">
        <f>IF(AG339="7",H339,0)</f>
        <v>0</v>
      </c>
      <c r="U339" s="43">
        <f>IF(AG339="7",I339,0)</f>
        <v>0</v>
      </c>
      <c r="V339" s="43">
        <f>IF(AG339="2",H339,0)</f>
        <v>0</v>
      </c>
      <c r="W339" s="43">
        <f>IF(AG339="2",I339,0)</f>
        <v>0</v>
      </c>
      <c r="X339" s="43">
        <f>IF(AG339="0",J339,0)</f>
        <v>0</v>
      </c>
      <c r="Y339" s="34" t="s">
        <v>200</v>
      </c>
      <c r="Z339" s="18">
        <f>IF(AD339=0,J339,0)</f>
        <v>0</v>
      </c>
      <c r="AA339" s="18">
        <f>IF(AD339=15,J339,0)</f>
        <v>0</v>
      </c>
      <c r="AB339" s="18">
        <f>IF(AD339=21,J339,0)</f>
        <v>39780</v>
      </c>
      <c r="AD339" s="43">
        <v>21</v>
      </c>
      <c r="AE339" s="43">
        <f>G339*0.356333333333333</f>
        <v>231.61666666666645</v>
      </c>
      <c r="AF339" s="43">
        <f>G339*(1-0.356333333333333)</f>
        <v>418.38333333333361</v>
      </c>
      <c r="AG339" s="38" t="s">
        <v>7</v>
      </c>
      <c r="AM339" s="43">
        <f>F339*AE339</f>
        <v>14174.939999999988</v>
      </c>
      <c r="AN339" s="43">
        <f>F339*AF339</f>
        <v>25605.060000000019</v>
      </c>
      <c r="AO339" s="44" t="s">
        <v>677</v>
      </c>
      <c r="AP339" s="44" t="s">
        <v>705</v>
      </c>
      <c r="AQ339" s="34" t="s">
        <v>716</v>
      </c>
      <c r="AS339" s="43">
        <f>AM339+AN339</f>
        <v>39780.000000000007</v>
      </c>
      <c r="AT339" s="43">
        <f>G339/(100-AU339)*100</f>
        <v>650</v>
      </c>
      <c r="AU339" s="43">
        <v>0</v>
      </c>
      <c r="AV339" s="43">
        <f>L339</f>
        <v>0.75337200000000004</v>
      </c>
    </row>
    <row r="340" spans="1:48">
      <c r="D340" s="85" t="s">
        <v>605</v>
      </c>
      <c r="F340" s="77">
        <v>61.2</v>
      </c>
      <c r="G340" s="26"/>
    </row>
    <row r="341" spans="1:48">
      <c r="A341" s="4"/>
      <c r="B341" s="14" t="s">
        <v>200</v>
      </c>
      <c r="C341" s="14" t="s">
        <v>67</v>
      </c>
      <c r="D341" s="83" t="s">
        <v>389</v>
      </c>
      <c r="E341" s="4" t="s">
        <v>6</v>
      </c>
      <c r="F341" s="4" t="s">
        <v>6</v>
      </c>
      <c r="G341" s="24" t="s">
        <v>6</v>
      </c>
      <c r="H341" s="46">
        <f>SUM(H342:H342)</f>
        <v>10795.498959985032</v>
      </c>
      <c r="I341" s="46">
        <f>SUM(I342:I342)</f>
        <v>35918.869040014972</v>
      </c>
      <c r="J341" s="46">
        <f>H341+I341</f>
        <v>46714.368000000002</v>
      </c>
      <c r="K341" s="34"/>
      <c r="L341" s="46">
        <f>SUM(L342:L342)</f>
        <v>1.1154772799999999</v>
      </c>
      <c r="M341" s="34"/>
      <c r="Y341" s="34" t="s">
        <v>200</v>
      </c>
      <c r="AI341" s="46">
        <f>SUM(Z342:Z342)</f>
        <v>0</v>
      </c>
      <c r="AJ341" s="46">
        <f>SUM(AA342:AA342)</f>
        <v>0</v>
      </c>
      <c r="AK341" s="46">
        <f>SUM(AB342:AB342)</f>
        <v>46714.368000000002</v>
      </c>
    </row>
    <row r="342" spans="1:48">
      <c r="A342" s="5" t="s">
        <v>175</v>
      </c>
      <c r="B342" s="5" t="s">
        <v>200</v>
      </c>
      <c r="C342" s="5" t="s">
        <v>227</v>
      </c>
      <c r="D342" s="84" t="s">
        <v>390</v>
      </c>
      <c r="E342" s="5" t="s">
        <v>620</v>
      </c>
      <c r="F342" s="76">
        <v>85.872</v>
      </c>
      <c r="G342" s="25">
        <v>544</v>
      </c>
      <c r="H342" s="18">
        <f>F342*AE342</f>
        <v>10795.498959985032</v>
      </c>
      <c r="I342" s="18">
        <f>J342-H342</f>
        <v>35918.869040014972</v>
      </c>
      <c r="J342" s="18">
        <f>F342*G342</f>
        <v>46714.368000000002</v>
      </c>
      <c r="K342" s="18">
        <v>1.299E-2</v>
      </c>
      <c r="L342" s="18">
        <f>F342*K342</f>
        <v>1.1154772799999999</v>
      </c>
      <c r="M342" s="38" t="s">
        <v>643</v>
      </c>
      <c r="P342" s="43">
        <f>IF(AG342="5",J342,0)</f>
        <v>0</v>
      </c>
      <c r="R342" s="43">
        <f>IF(AG342="1",H342,0)</f>
        <v>10795.498959985032</v>
      </c>
      <c r="S342" s="43">
        <f>IF(AG342="1",I342,0)</f>
        <v>35918.869040014972</v>
      </c>
      <c r="T342" s="43">
        <f>IF(AG342="7",H342,0)</f>
        <v>0</v>
      </c>
      <c r="U342" s="43">
        <f>IF(AG342="7",I342,0)</f>
        <v>0</v>
      </c>
      <c r="V342" s="43">
        <f>IF(AG342="2",H342,0)</f>
        <v>0</v>
      </c>
      <c r="W342" s="43">
        <f>IF(AG342="2",I342,0)</f>
        <v>0</v>
      </c>
      <c r="X342" s="43">
        <f>IF(AG342="0",J342,0)</f>
        <v>0</v>
      </c>
      <c r="Y342" s="34" t="s">
        <v>200</v>
      </c>
      <c r="Z342" s="18">
        <f>IF(AD342=0,J342,0)</f>
        <v>0</v>
      </c>
      <c r="AA342" s="18">
        <f>IF(AD342=15,J342,0)</f>
        <v>0</v>
      </c>
      <c r="AB342" s="18">
        <f>IF(AD342=21,J342,0)</f>
        <v>46714.368000000002</v>
      </c>
      <c r="AD342" s="43">
        <v>21</v>
      </c>
      <c r="AE342" s="43">
        <f>G342*0.231095900943903</f>
        <v>125.71617011348323</v>
      </c>
      <c r="AF342" s="43">
        <f>G342*(1-0.231095900943903)</f>
        <v>418.2838298865168</v>
      </c>
      <c r="AG342" s="38" t="s">
        <v>7</v>
      </c>
      <c r="AM342" s="43">
        <f>F342*AE342</f>
        <v>10795.498959985032</v>
      </c>
      <c r="AN342" s="43">
        <f>F342*AF342</f>
        <v>35918.869040014972</v>
      </c>
      <c r="AO342" s="44" t="s">
        <v>663</v>
      </c>
      <c r="AP342" s="44" t="s">
        <v>706</v>
      </c>
      <c r="AQ342" s="34" t="s">
        <v>716</v>
      </c>
      <c r="AS342" s="43">
        <f>AM342+AN342</f>
        <v>46714.368000000002</v>
      </c>
      <c r="AT342" s="43">
        <f>G342/(100-AU342)*100</f>
        <v>544</v>
      </c>
      <c r="AU342" s="43">
        <v>0</v>
      </c>
      <c r="AV342" s="43">
        <f>L342</f>
        <v>1.1154772799999999</v>
      </c>
    </row>
    <row r="343" spans="1:48">
      <c r="D343" s="85" t="s">
        <v>391</v>
      </c>
      <c r="F343" s="77">
        <v>85.872</v>
      </c>
      <c r="G343" s="26"/>
    </row>
    <row r="344" spans="1:48">
      <c r="A344" s="4"/>
      <c r="B344" s="14" t="s">
        <v>200</v>
      </c>
      <c r="C344" s="14" t="s">
        <v>325</v>
      </c>
      <c r="D344" s="83" t="s">
        <v>569</v>
      </c>
      <c r="E344" s="4" t="s">
        <v>6</v>
      </c>
      <c r="F344" s="4" t="s">
        <v>6</v>
      </c>
      <c r="G344" s="24" t="s">
        <v>6</v>
      </c>
      <c r="H344" s="46">
        <f>SUM(H345:H345)</f>
        <v>4582.4151916666688</v>
      </c>
      <c r="I344" s="46">
        <f>SUM(I345:I345)</f>
        <v>536807.58480833331</v>
      </c>
      <c r="J344" s="46">
        <f>H344+I344</f>
        <v>541390</v>
      </c>
      <c r="K344" s="34"/>
      <c r="L344" s="46">
        <f>SUM(L345:L345)</f>
        <v>7.0380700000000003</v>
      </c>
      <c r="M344" s="34"/>
      <c r="Y344" s="34" t="s">
        <v>200</v>
      </c>
      <c r="AI344" s="46">
        <f>SUM(Z345:Z345)</f>
        <v>0</v>
      </c>
      <c r="AJ344" s="46">
        <f>SUM(AA345:AA345)</f>
        <v>0</v>
      </c>
      <c r="AK344" s="46">
        <f>SUM(AB345:AB345)</f>
        <v>541390</v>
      </c>
    </row>
    <row r="345" spans="1:48" ht="25.5">
      <c r="A345" s="5" t="s">
        <v>176</v>
      </c>
      <c r="B345" s="5" t="s">
        <v>200</v>
      </c>
      <c r="C345" s="5" t="s">
        <v>340</v>
      </c>
      <c r="D345" s="84" t="s">
        <v>606</v>
      </c>
      <c r="E345" s="5" t="s">
        <v>620</v>
      </c>
      <c r="F345" s="76">
        <v>54.139000000000003</v>
      </c>
      <c r="G345" s="25">
        <v>10000</v>
      </c>
      <c r="H345" s="18">
        <f>F345*AE345</f>
        <v>4582.4151916666688</v>
      </c>
      <c r="I345" s="18">
        <f>J345-H345</f>
        <v>536807.58480833331</v>
      </c>
      <c r="J345" s="18">
        <f>F345*G345</f>
        <v>541390</v>
      </c>
      <c r="K345" s="18">
        <v>0.13</v>
      </c>
      <c r="L345" s="18">
        <f>F345*K345</f>
        <v>7.0380700000000003</v>
      </c>
      <c r="M345" s="38" t="s">
        <v>643</v>
      </c>
      <c r="P345" s="43">
        <f>IF(AG345="5",J345,0)</f>
        <v>0</v>
      </c>
      <c r="R345" s="43">
        <f>IF(AG345="1",H345,0)</f>
        <v>0</v>
      </c>
      <c r="S345" s="43">
        <f>IF(AG345="1",I345,0)</f>
        <v>0</v>
      </c>
      <c r="T345" s="43">
        <f>IF(AG345="7",H345,0)</f>
        <v>4582.4151916666688</v>
      </c>
      <c r="U345" s="43">
        <f>IF(AG345="7",I345,0)</f>
        <v>536807.58480833331</v>
      </c>
      <c r="V345" s="43">
        <f>IF(AG345="2",H345,0)</f>
        <v>0</v>
      </c>
      <c r="W345" s="43">
        <f>IF(AG345="2",I345,0)</f>
        <v>0</v>
      </c>
      <c r="X345" s="43">
        <f>IF(AG345="0",J345,0)</f>
        <v>0</v>
      </c>
      <c r="Y345" s="34" t="s">
        <v>200</v>
      </c>
      <c r="Z345" s="18">
        <f>IF(AD345=0,J345,0)</f>
        <v>0</v>
      </c>
      <c r="AA345" s="18">
        <f>IF(AD345=15,J345,0)</f>
        <v>0</v>
      </c>
      <c r="AB345" s="18">
        <f>IF(AD345=21,J345,0)</f>
        <v>541390</v>
      </c>
      <c r="AD345" s="43">
        <v>21</v>
      </c>
      <c r="AE345" s="43">
        <f>G345*0.00846416666666667</f>
        <v>84.641666666666708</v>
      </c>
      <c r="AF345" s="43">
        <f>G345*(1-0.00846416666666667)</f>
        <v>9915.3583333333336</v>
      </c>
      <c r="AG345" s="38" t="s">
        <v>13</v>
      </c>
      <c r="AM345" s="43">
        <f>F345*AE345</f>
        <v>4582.4151916666688</v>
      </c>
      <c r="AN345" s="43">
        <f>F345*AF345</f>
        <v>536807.58480833343</v>
      </c>
      <c r="AO345" s="44" t="s">
        <v>675</v>
      </c>
      <c r="AP345" s="44" t="s">
        <v>707</v>
      </c>
      <c r="AQ345" s="34" t="s">
        <v>716</v>
      </c>
      <c r="AS345" s="43">
        <f>AM345+AN345</f>
        <v>541390.00000000012</v>
      </c>
      <c r="AT345" s="43">
        <f>G345/(100-AU345)*100</f>
        <v>10000</v>
      </c>
      <c r="AU345" s="43">
        <v>0</v>
      </c>
      <c r="AV345" s="43">
        <f>L345</f>
        <v>7.0380700000000003</v>
      </c>
    </row>
    <row r="346" spans="1:48">
      <c r="D346" s="85" t="s">
        <v>607</v>
      </c>
      <c r="F346" s="77">
        <v>54.139000000000003</v>
      </c>
      <c r="G346" s="26"/>
    </row>
    <row r="347" spans="1:48">
      <c r="A347" s="4"/>
      <c r="B347" s="14" t="s">
        <v>200</v>
      </c>
      <c r="C347" s="14" t="s">
        <v>100</v>
      </c>
      <c r="D347" s="83" t="s">
        <v>354</v>
      </c>
      <c r="E347" s="4" t="s">
        <v>6</v>
      </c>
      <c r="F347" s="4" t="s">
        <v>6</v>
      </c>
      <c r="G347" s="24" t="s">
        <v>6</v>
      </c>
      <c r="H347" s="46">
        <f>SUM(H348:H352)</f>
        <v>5662.3293019505491</v>
      </c>
      <c r="I347" s="46">
        <f>SUM(I348:I352)</f>
        <v>11304.070698049454</v>
      </c>
      <c r="J347" s="46">
        <f>H347+I347</f>
        <v>16966.400000000001</v>
      </c>
      <c r="K347" s="34"/>
      <c r="L347" s="46">
        <f>SUM(L348:L352)</f>
        <v>1.4072960000000003</v>
      </c>
      <c r="M347" s="34"/>
      <c r="Y347" s="34" t="s">
        <v>200</v>
      </c>
      <c r="AI347" s="46">
        <f>SUM(Z348:Z352)</f>
        <v>0</v>
      </c>
      <c r="AJ347" s="46">
        <f>SUM(AA348:AA352)</f>
        <v>0</v>
      </c>
      <c r="AK347" s="46">
        <f>SUM(AB348:AB352)</f>
        <v>16966.400000000001</v>
      </c>
    </row>
    <row r="348" spans="1:48">
      <c r="A348" s="5" t="s">
        <v>177</v>
      </c>
      <c r="B348" s="5" t="s">
        <v>200</v>
      </c>
      <c r="C348" s="5" t="s">
        <v>341</v>
      </c>
      <c r="D348" s="84" t="s">
        <v>608</v>
      </c>
      <c r="E348" s="5" t="s">
        <v>620</v>
      </c>
      <c r="F348" s="76">
        <v>70.400000000000006</v>
      </c>
      <c r="G348" s="25">
        <v>200</v>
      </c>
      <c r="H348" s="18">
        <f>F348*AE348</f>
        <v>4219.1293019505492</v>
      </c>
      <c r="I348" s="18">
        <f>J348-H348</f>
        <v>9860.8706980494535</v>
      </c>
      <c r="J348" s="18">
        <f>F348*G348</f>
        <v>14080.000000000002</v>
      </c>
      <c r="K348" s="18">
        <v>1.9980000000000001E-2</v>
      </c>
      <c r="L348" s="18">
        <f>F348*K348</f>
        <v>1.4065920000000003</v>
      </c>
      <c r="M348" s="38" t="s">
        <v>643</v>
      </c>
      <c r="P348" s="43">
        <f>IF(AG348="5",J348,0)</f>
        <v>0</v>
      </c>
      <c r="R348" s="43">
        <f>IF(AG348="1",H348,0)</f>
        <v>4219.1293019505492</v>
      </c>
      <c r="S348" s="43">
        <f>IF(AG348="1",I348,0)</f>
        <v>9860.8706980494535</v>
      </c>
      <c r="T348" s="43">
        <f>IF(AG348="7",H348,0)</f>
        <v>0</v>
      </c>
      <c r="U348" s="43">
        <f>IF(AG348="7",I348,0)</f>
        <v>0</v>
      </c>
      <c r="V348" s="43">
        <f>IF(AG348="2",H348,0)</f>
        <v>0</v>
      </c>
      <c r="W348" s="43">
        <f>IF(AG348="2",I348,0)</f>
        <v>0</v>
      </c>
      <c r="X348" s="43">
        <f>IF(AG348="0",J348,0)</f>
        <v>0</v>
      </c>
      <c r="Y348" s="34" t="s">
        <v>200</v>
      </c>
      <c r="Z348" s="18">
        <f>IF(AD348=0,J348,0)</f>
        <v>0</v>
      </c>
      <c r="AA348" s="18">
        <f>IF(AD348=15,J348,0)</f>
        <v>0</v>
      </c>
      <c r="AB348" s="18">
        <f>IF(AD348=21,J348,0)</f>
        <v>14080.000000000002</v>
      </c>
      <c r="AD348" s="43">
        <v>21</v>
      </c>
      <c r="AE348" s="43">
        <f>G348*0.299654069740806</f>
        <v>59.930813948161202</v>
      </c>
      <c r="AF348" s="43">
        <f>G348*(1-0.299654069740806)</f>
        <v>140.06918605183881</v>
      </c>
      <c r="AG348" s="38" t="s">
        <v>7</v>
      </c>
      <c r="AM348" s="43">
        <f>F348*AE348</f>
        <v>4219.1293019505492</v>
      </c>
      <c r="AN348" s="43">
        <f>F348*AF348</f>
        <v>9860.8706980494535</v>
      </c>
      <c r="AO348" s="44" t="s">
        <v>657</v>
      </c>
      <c r="AP348" s="44" t="s">
        <v>708</v>
      </c>
      <c r="AQ348" s="34" t="s">
        <v>716</v>
      </c>
      <c r="AS348" s="43">
        <f>AM348+AN348</f>
        <v>14080.000000000004</v>
      </c>
      <c r="AT348" s="43">
        <f>G348/(100-AU348)*100</f>
        <v>200</v>
      </c>
      <c r="AU348" s="43">
        <v>0</v>
      </c>
      <c r="AV348" s="43">
        <f>L348</f>
        <v>1.4065920000000003</v>
      </c>
    </row>
    <row r="349" spans="1:48">
      <c r="D349" s="85" t="s">
        <v>609</v>
      </c>
      <c r="F349" s="77">
        <v>70.400000000000006</v>
      </c>
      <c r="G349" s="26"/>
    </row>
    <row r="350" spans="1:48">
      <c r="A350" s="5" t="s">
        <v>178</v>
      </c>
      <c r="B350" s="5" t="s">
        <v>200</v>
      </c>
      <c r="C350" s="5" t="s">
        <v>208</v>
      </c>
      <c r="D350" s="84" t="s">
        <v>359</v>
      </c>
      <c r="E350" s="5" t="s">
        <v>620</v>
      </c>
      <c r="F350" s="76">
        <v>70.400000000000006</v>
      </c>
      <c r="G350" s="25">
        <v>12.9</v>
      </c>
      <c r="H350" s="18">
        <f>F350*AE350</f>
        <v>0</v>
      </c>
      <c r="I350" s="18">
        <f>J350-H350</f>
        <v>908.16000000000008</v>
      </c>
      <c r="J350" s="18">
        <f>F350*G350</f>
        <v>908.16000000000008</v>
      </c>
      <c r="K350" s="18">
        <v>0</v>
      </c>
      <c r="L350" s="18">
        <f>F350*K350</f>
        <v>0</v>
      </c>
      <c r="M350" s="38" t="s">
        <v>644</v>
      </c>
      <c r="P350" s="43">
        <f>IF(AG350="5",J350,0)</f>
        <v>0</v>
      </c>
      <c r="R350" s="43">
        <f>IF(AG350="1",H350,0)</f>
        <v>0</v>
      </c>
      <c r="S350" s="43">
        <f>IF(AG350="1",I350,0)</f>
        <v>908.16000000000008</v>
      </c>
      <c r="T350" s="43">
        <f>IF(AG350="7",H350,0)</f>
        <v>0</v>
      </c>
      <c r="U350" s="43">
        <f>IF(AG350="7",I350,0)</f>
        <v>0</v>
      </c>
      <c r="V350" s="43">
        <f>IF(AG350="2",H350,0)</f>
        <v>0</v>
      </c>
      <c r="W350" s="43">
        <f>IF(AG350="2",I350,0)</f>
        <v>0</v>
      </c>
      <c r="X350" s="43">
        <f>IF(AG350="0",J350,0)</f>
        <v>0</v>
      </c>
      <c r="Y350" s="34" t="s">
        <v>200</v>
      </c>
      <c r="Z350" s="18">
        <f>IF(AD350=0,J350,0)</f>
        <v>0</v>
      </c>
      <c r="AA350" s="18">
        <f>IF(AD350=15,J350,0)</f>
        <v>0</v>
      </c>
      <c r="AB350" s="18">
        <f>IF(AD350=21,J350,0)</f>
        <v>908.16000000000008</v>
      </c>
      <c r="AD350" s="43">
        <v>21</v>
      </c>
      <c r="AE350" s="43">
        <f>G350*0</f>
        <v>0</v>
      </c>
      <c r="AF350" s="43">
        <f>G350*(1-0)</f>
        <v>12.9</v>
      </c>
      <c r="AG350" s="38" t="s">
        <v>7</v>
      </c>
      <c r="AM350" s="43">
        <f>F350*AE350</f>
        <v>0</v>
      </c>
      <c r="AN350" s="43">
        <f>F350*AF350</f>
        <v>908.16000000000008</v>
      </c>
      <c r="AO350" s="44" t="s">
        <v>657</v>
      </c>
      <c r="AP350" s="44" t="s">
        <v>708</v>
      </c>
      <c r="AQ350" s="34" t="s">
        <v>716</v>
      </c>
      <c r="AS350" s="43">
        <f>AM350+AN350</f>
        <v>908.16000000000008</v>
      </c>
      <c r="AT350" s="43">
        <f>G350/(100-AU350)*100</f>
        <v>12.9</v>
      </c>
      <c r="AU350" s="43">
        <v>0</v>
      </c>
      <c r="AV350" s="43">
        <f>L350</f>
        <v>0</v>
      </c>
    </row>
    <row r="351" spans="1:48">
      <c r="A351" s="5" t="s">
        <v>179</v>
      </c>
      <c r="B351" s="5" t="s">
        <v>200</v>
      </c>
      <c r="C351" s="5" t="s">
        <v>210</v>
      </c>
      <c r="D351" s="84" t="s">
        <v>361</v>
      </c>
      <c r="E351" s="5" t="s">
        <v>620</v>
      </c>
      <c r="F351" s="76">
        <v>70.400000000000006</v>
      </c>
      <c r="G351" s="25">
        <v>7.6</v>
      </c>
      <c r="H351" s="18">
        <f>F351*AE351</f>
        <v>0</v>
      </c>
      <c r="I351" s="18">
        <f>J351-H351</f>
        <v>535.04</v>
      </c>
      <c r="J351" s="18">
        <f>F351*G351</f>
        <v>535.04</v>
      </c>
      <c r="K351" s="18">
        <v>0</v>
      </c>
      <c r="L351" s="18">
        <f>F351*K351</f>
        <v>0</v>
      </c>
      <c r="M351" s="38" t="s">
        <v>644</v>
      </c>
      <c r="P351" s="43">
        <f>IF(AG351="5",J351,0)</f>
        <v>0</v>
      </c>
      <c r="R351" s="43">
        <f>IF(AG351="1",H351,0)</f>
        <v>0</v>
      </c>
      <c r="S351" s="43">
        <f>IF(AG351="1",I351,0)</f>
        <v>535.04</v>
      </c>
      <c r="T351" s="43">
        <f>IF(AG351="7",H351,0)</f>
        <v>0</v>
      </c>
      <c r="U351" s="43">
        <f>IF(AG351="7",I351,0)</f>
        <v>0</v>
      </c>
      <c r="V351" s="43">
        <f>IF(AG351="2",H351,0)</f>
        <v>0</v>
      </c>
      <c r="W351" s="43">
        <f>IF(AG351="2",I351,0)</f>
        <v>0</v>
      </c>
      <c r="X351" s="43">
        <f>IF(AG351="0",J351,0)</f>
        <v>0</v>
      </c>
      <c r="Y351" s="34" t="s">
        <v>200</v>
      </c>
      <c r="Z351" s="18">
        <f>IF(AD351=0,J351,0)</f>
        <v>0</v>
      </c>
      <c r="AA351" s="18">
        <f>IF(AD351=15,J351,0)</f>
        <v>0</v>
      </c>
      <c r="AB351" s="18">
        <f>IF(AD351=21,J351,0)</f>
        <v>535.04</v>
      </c>
      <c r="AD351" s="43">
        <v>21</v>
      </c>
      <c r="AE351" s="43">
        <f>G351*0</f>
        <v>0</v>
      </c>
      <c r="AF351" s="43">
        <f>G351*(1-0)</f>
        <v>7.6</v>
      </c>
      <c r="AG351" s="38" t="s">
        <v>7</v>
      </c>
      <c r="AM351" s="43">
        <f>F351*AE351</f>
        <v>0</v>
      </c>
      <c r="AN351" s="43">
        <f>F351*AF351</f>
        <v>535.04</v>
      </c>
      <c r="AO351" s="44" t="s">
        <v>657</v>
      </c>
      <c r="AP351" s="44" t="s">
        <v>708</v>
      </c>
      <c r="AQ351" s="34" t="s">
        <v>716</v>
      </c>
      <c r="AS351" s="43">
        <f>AM351+AN351</f>
        <v>535.04</v>
      </c>
      <c r="AT351" s="43">
        <f>G351/(100-AU351)*100</f>
        <v>7.6</v>
      </c>
      <c r="AU351" s="43">
        <v>0</v>
      </c>
      <c r="AV351" s="43">
        <f>L351</f>
        <v>0</v>
      </c>
    </row>
    <row r="352" spans="1:48">
      <c r="A352" s="6" t="s">
        <v>180</v>
      </c>
      <c r="B352" s="6" t="s">
        <v>200</v>
      </c>
      <c r="C352" s="6" t="s">
        <v>209</v>
      </c>
      <c r="D352" s="86" t="s">
        <v>360</v>
      </c>
      <c r="E352" s="6" t="s">
        <v>620</v>
      </c>
      <c r="F352" s="78">
        <v>70.400000000000006</v>
      </c>
      <c r="G352" s="27">
        <v>20.5</v>
      </c>
      <c r="H352" s="19">
        <f>F352*AE352</f>
        <v>1443.2</v>
      </c>
      <c r="I352" s="19">
        <f>J352-H352</f>
        <v>0</v>
      </c>
      <c r="J352" s="19">
        <f>F352*G352</f>
        <v>1443.2</v>
      </c>
      <c r="K352" s="19">
        <v>1.0000000000000001E-5</v>
      </c>
      <c r="L352" s="19">
        <f>F352*K352</f>
        <v>7.0400000000000009E-4</v>
      </c>
      <c r="M352" s="39" t="s">
        <v>643</v>
      </c>
      <c r="P352" s="43">
        <f>IF(AG352="5",J352,0)</f>
        <v>0</v>
      </c>
      <c r="R352" s="43">
        <f>IF(AG352="1",H352,0)</f>
        <v>1443.2</v>
      </c>
      <c r="S352" s="43">
        <f>IF(AG352="1",I352,0)</f>
        <v>0</v>
      </c>
      <c r="T352" s="43">
        <f>IF(AG352="7",H352,0)</f>
        <v>0</v>
      </c>
      <c r="U352" s="43">
        <f>IF(AG352="7",I352,0)</f>
        <v>0</v>
      </c>
      <c r="V352" s="43">
        <f>IF(AG352="2",H352,0)</f>
        <v>0</v>
      </c>
      <c r="W352" s="43">
        <f>IF(AG352="2",I352,0)</f>
        <v>0</v>
      </c>
      <c r="X352" s="43">
        <f>IF(AG352="0",J352,0)</f>
        <v>0</v>
      </c>
      <c r="Y352" s="34" t="s">
        <v>200</v>
      </c>
      <c r="Z352" s="19">
        <f>IF(AD352=0,J352,0)</f>
        <v>0</v>
      </c>
      <c r="AA352" s="19">
        <f>IF(AD352=15,J352,0)</f>
        <v>0</v>
      </c>
      <c r="AB352" s="19">
        <f>IF(AD352=21,J352,0)</f>
        <v>1443.2</v>
      </c>
      <c r="AD352" s="43">
        <v>21</v>
      </c>
      <c r="AE352" s="43">
        <f>G352*1</f>
        <v>20.5</v>
      </c>
      <c r="AF352" s="43">
        <f>G352*(1-1)</f>
        <v>0</v>
      </c>
      <c r="AG352" s="39" t="s">
        <v>7</v>
      </c>
      <c r="AM352" s="43">
        <f>F352*AE352</f>
        <v>1443.2</v>
      </c>
      <c r="AN352" s="43">
        <f>F352*AF352</f>
        <v>0</v>
      </c>
      <c r="AO352" s="44" t="s">
        <v>657</v>
      </c>
      <c r="AP352" s="44" t="s">
        <v>708</v>
      </c>
      <c r="AQ352" s="34" t="s">
        <v>716</v>
      </c>
      <c r="AS352" s="43">
        <f>AM352+AN352</f>
        <v>1443.2</v>
      </c>
      <c r="AT352" s="43">
        <f>G352/(100-AU352)*100</f>
        <v>20.5</v>
      </c>
      <c r="AU352" s="43">
        <v>0</v>
      </c>
      <c r="AV352" s="43">
        <f>L352</f>
        <v>7.0400000000000009E-4</v>
      </c>
    </row>
    <row r="353" spans="1:48">
      <c r="A353" s="4"/>
      <c r="B353" s="14" t="s">
        <v>200</v>
      </c>
      <c r="C353" s="14" t="s">
        <v>102</v>
      </c>
      <c r="D353" s="83" t="s">
        <v>416</v>
      </c>
      <c r="E353" s="4" t="s">
        <v>6</v>
      </c>
      <c r="F353" s="4" t="s">
        <v>6</v>
      </c>
      <c r="G353" s="24" t="s">
        <v>6</v>
      </c>
      <c r="H353" s="46">
        <f>SUM(H354:H354)</f>
        <v>951.238287666102</v>
      </c>
      <c r="I353" s="46">
        <f>SUM(I354:I354)</f>
        <v>11148.8282123339</v>
      </c>
      <c r="J353" s="46">
        <f>H353+I353</f>
        <v>12100.066500000001</v>
      </c>
      <c r="K353" s="34"/>
      <c r="L353" s="46">
        <f>SUM(L354:L354)</f>
        <v>4.4756711300000003</v>
      </c>
      <c r="M353" s="34"/>
      <c r="Y353" s="34" t="s">
        <v>200</v>
      </c>
      <c r="AI353" s="46">
        <f>SUM(Z354:Z354)</f>
        <v>0</v>
      </c>
      <c r="AJ353" s="46">
        <f>SUM(AA354:AA354)</f>
        <v>0</v>
      </c>
      <c r="AK353" s="46">
        <f>SUM(AB354:AB354)</f>
        <v>12100.066500000001</v>
      </c>
    </row>
    <row r="354" spans="1:48">
      <c r="A354" s="5" t="s">
        <v>181</v>
      </c>
      <c r="B354" s="5" t="s">
        <v>200</v>
      </c>
      <c r="C354" s="5" t="s">
        <v>342</v>
      </c>
      <c r="D354" s="84" t="s">
        <v>610</v>
      </c>
      <c r="E354" s="5" t="s">
        <v>620</v>
      </c>
      <c r="F354" s="76">
        <v>54.139000000000003</v>
      </c>
      <c r="G354" s="25">
        <v>223.5</v>
      </c>
      <c r="H354" s="18">
        <f>F354*AE354</f>
        <v>951.238287666102</v>
      </c>
      <c r="I354" s="18">
        <f>J354-H354</f>
        <v>11148.8282123339</v>
      </c>
      <c r="J354" s="18">
        <f>F354*G354</f>
        <v>12100.066500000001</v>
      </c>
      <c r="K354" s="18">
        <v>8.2669999999999993E-2</v>
      </c>
      <c r="L354" s="18">
        <f>F354*K354</f>
        <v>4.4756711300000003</v>
      </c>
      <c r="M354" s="38" t="s">
        <v>643</v>
      </c>
      <c r="P354" s="43">
        <f>IF(AG354="5",J354,0)</f>
        <v>0</v>
      </c>
      <c r="R354" s="43">
        <f>IF(AG354="1",H354,0)</f>
        <v>951.238287666102</v>
      </c>
      <c r="S354" s="43">
        <f>IF(AG354="1",I354,0)</f>
        <v>11148.8282123339</v>
      </c>
      <c r="T354" s="43">
        <f>IF(AG354="7",H354,0)</f>
        <v>0</v>
      </c>
      <c r="U354" s="43">
        <f>IF(AG354="7",I354,0)</f>
        <v>0</v>
      </c>
      <c r="V354" s="43">
        <f>IF(AG354="2",H354,0)</f>
        <v>0</v>
      </c>
      <c r="W354" s="43">
        <f>IF(AG354="2",I354,0)</f>
        <v>0</v>
      </c>
      <c r="X354" s="43">
        <f>IF(AG354="0",J354,0)</f>
        <v>0</v>
      </c>
      <c r="Y354" s="34" t="s">
        <v>200</v>
      </c>
      <c r="Z354" s="18">
        <f>IF(AD354=0,J354,0)</f>
        <v>0</v>
      </c>
      <c r="AA354" s="18">
        <f>IF(AD354=15,J354,0)</f>
        <v>0</v>
      </c>
      <c r="AB354" s="18">
        <f>IF(AD354=21,J354,0)</f>
        <v>12100.066500000001</v>
      </c>
      <c r="AD354" s="43">
        <v>21</v>
      </c>
      <c r="AE354" s="43">
        <f>G354*0.0786143024640486</f>
        <v>17.570296600714862</v>
      </c>
      <c r="AF354" s="43">
        <f>G354*(1-0.0786143024640486)</f>
        <v>205.92970339928513</v>
      </c>
      <c r="AG354" s="38" t="s">
        <v>7</v>
      </c>
      <c r="AM354" s="43">
        <f>F354*AE354</f>
        <v>951.238287666102</v>
      </c>
      <c r="AN354" s="43">
        <f>F354*AF354</f>
        <v>11148.828212333898</v>
      </c>
      <c r="AO354" s="44" t="s">
        <v>665</v>
      </c>
      <c r="AP354" s="44" t="s">
        <v>708</v>
      </c>
      <c r="AQ354" s="34" t="s">
        <v>716</v>
      </c>
      <c r="AS354" s="43">
        <f>AM354+AN354</f>
        <v>12100.066499999999</v>
      </c>
      <c r="AT354" s="43">
        <f>G354/(100-AU354)*100</f>
        <v>223.5</v>
      </c>
      <c r="AU354" s="43">
        <v>0</v>
      </c>
      <c r="AV354" s="43">
        <f>L354</f>
        <v>4.4756711300000003</v>
      </c>
    </row>
    <row r="355" spans="1:48">
      <c r="D355" s="85" t="s">
        <v>611</v>
      </c>
      <c r="F355" s="77">
        <v>54.139000000000003</v>
      </c>
      <c r="G355" s="26"/>
    </row>
    <row r="356" spans="1:48">
      <c r="A356" s="4"/>
      <c r="B356" s="14" t="s">
        <v>200</v>
      </c>
      <c r="C356" s="14" t="s">
        <v>220</v>
      </c>
      <c r="D356" s="83" t="s">
        <v>378</v>
      </c>
      <c r="E356" s="4" t="s">
        <v>6</v>
      </c>
      <c r="F356" s="4" t="s">
        <v>6</v>
      </c>
      <c r="G356" s="24" t="s">
        <v>6</v>
      </c>
      <c r="H356" s="46">
        <f>SUM(H357:H371)</f>
        <v>13.387696215144381</v>
      </c>
      <c r="I356" s="46">
        <f>SUM(I357:I371)</f>
        <v>11184.966003784855</v>
      </c>
      <c r="J356" s="46">
        <f>H356+I356</f>
        <v>11198.3537</v>
      </c>
      <c r="K356" s="34"/>
      <c r="L356" s="46">
        <f>SUM(L357:L371)</f>
        <v>0</v>
      </c>
      <c r="M356" s="34"/>
      <c r="Y356" s="34" t="s">
        <v>200</v>
      </c>
      <c r="AI356" s="46">
        <f>SUM(Z357:Z371)</f>
        <v>0</v>
      </c>
      <c r="AJ356" s="46">
        <f>SUM(AA357:AA371)</f>
        <v>0</v>
      </c>
      <c r="AK356" s="46">
        <f>SUM(AB357:AB371)</f>
        <v>11198.3537</v>
      </c>
    </row>
    <row r="357" spans="1:48">
      <c r="A357" s="5" t="s">
        <v>182</v>
      </c>
      <c r="B357" s="5" t="s">
        <v>200</v>
      </c>
      <c r="C357" s="5" t="s">
        <v>310</v>
      </c>
      <c r="D357" s="84" t="s">
        <v>531</v>
      </c>
      <c r="E357" s="5" t="s">
        <v>621</v>
      </c>
      <c r="F357" s="76">
        <v>4.476</v>
      </c>
      <c r="G357" s="25">
        <v>696</v>
      </c>
      <c r="H357" s="18">
        <f>F357*AE357</f>
        <v>0</v>
      </c>
      <c r="I357" s="18">
        <f>J357-H357</f>
        <v>3115.2959999999998</v>
      </c>
      <c r="J357" s="18">
        <f>F357*G357</f>
        <v>3115.2959999999998</v>
      </c>
      <c r="K357" s="18">
        <v>0</v>
      </c>
      <c r="L357" s="18">
        <f>F357*K357</f>
        <v>0</v>
      </c>
      <c r="M357" s="38" t="s">
        <v>643</v>
      </c>
      <c r="P357" s="43">
        <f>IF(AG357="5",J357,0)</f>
        <v>3115.2959999999998</v>
      </c>
      <c r="R357" s="43">
        <f>IF(AG357="1",H357,0)</f>
        <v>0</v>
      </c>
      <c r="S357" s="43">
        <f>IF(AG357="1",I357,0)</f>
        <v>0</v>
      </c>
      <c r="T357" s="43">
        <f>IF(AG357="7",H357,0)</f>
        <v>0</v>
      </c>
      <c r="U357" s="43">
        <f>IF(AG357="7",I357,0)</f>
        <v>0</v>
      </c>
      <c r="V357" s="43">
        <f>IF(AG357="2",H357,0)</f>
        <v>0</v>
      </c>
      <c r="W357" s="43">
        <f>IF(AG357="2",I357,0)</f>
        <v>0</v>
      </c>
      <c r="X357" s="43">
        <f>IF(AG357="0",J357,0)</f>
        <v>0</v>
      </c>
      <c r="Y357" s="34" t="s">
        <v>200</v>
      </c>
      <c r="Z357" s="18">
        <f>IF(AD357=0,J357,0)</f>
        <v>0</v>
      </c>
      <c r="AA357" s="18">
        <f>IF(AD357=15,J357,0)</f>
        <v>0</v>
      </c>
      <c r="AB357" s="18">
        <f>IF(AD357=21,J357,0)</f>
        <v>3115.2959999999998</v>
      </c>
      <c r="AD357" s="43">
        <v>21</v>
      </c>
      <c r="AE357" s="43">
        <f>G357*0</f>
        <v>0</v>
      </c>
      <c r="AF357" s="43">
        <f>G357*(1-0)</f>
        <v>696</v>
      </c>
      <c r="AG357" s="38" t="s">
        <v>11</v>
      </c>
      <c r="AM357" s="43">
        <f>F357*AE357</f>
        <v>0</v>
      </c>
      <c r="AN357" s="43">
        <f>F357*AF357</f>
        <v>3115.2959999999998</v>
      </c>
      <c r="AO357" s="44" t="s">
        <v>662</v>
      </c>
      <c r="AP357" s="44" t="s">
        <v>708</v>
      </c>
      <c r="AQ357" s="34" t="s">
        <v>716</v>
      </c>
      <c r="AS357" s="43">
        <f>AM357+AN357</f>
        <v>3115.2959999999998</v>
      </c>
      <c r="AT357" s="43">
        <f>G357/(100-AU357)*100</f>
        <v>696</v>
      </c>
      <c r="AU357" s="43">
        <v>0</v>
      </c>
      <c r="AV357" s="43">
        <f>L357</f>
        <v>0</v>
      </c>
    </row>
    <row r="358" spans="1:48">
      <c r="D358" s="85" t="s">
        <v>612</v>
      </c>
      <c r="F358" s="77">
        <v>4.476</v>
      </c>
      <c r="G358" s="26"/>
    </row>
    <row r="359" spans="1:48">
      <c r="A359" s="5" t="s">
        <v>183</v>
      </c>
      <c r="B359" s="5" t="s">
        <v>200</v>
      </c>
      <c r="C359" s="5" t="s">
        <v>311</v>
      </c>
      <c r="D359" s="84" t="s">
        <v>535</v>
      </c>
      <c r="E359" s="5" t="s">
        <v>621</v>
      </c>
      <c r="F359" s="76">
        <v>4.476</v>
      </c>
      <c r="G359" s="25">
        <v>113</v>
      </c>
      <c r="H359" s="18">
        <f>F359*AE359</f>
        <v>0</v>
      </c>
      <c r="I359" s="18">
        <f>J359-H359</f>
        <v>505.78800000000001</v>
      </c>
      <c r="J359" s="18">
        <f>F359*G359</f>
        <v>505.78800000000001</v>
      </c>
      <c r="K359" s="18">
        <v>0</v>
      </c>
      <c r="L359" s="18">
        <f>F359*K359</f>
        <v>0</v>
      </c>
      <c r="M359" s="38" t="s">
        <v>643</v>
      </c>
      <c r="P359" s="43">
        <f>IF(AG359="5",J359,0)</f>
        <v>505.78800000000001</v>
      </c>
      <c r="R359" s="43">
        <f>IF(AG359="1",H359,0)</f>
        <v>0</v>
      </c>
      <c r="S359" s="43">
        <f>IF(AG359="1",I359,0)</f>
        <v>0</v>
      </c>
      <c r="T359" s="43">
        <f>IF(AG359="7",H359,0)</f>
        <v>0</v>
      </c>
      <c r="U359" s="43">
        <f>IF(AG359="7",I359,0)</f>
        <v>0</v>
      </c>
      <c r="V359" s="43">
        <f>IF(AG359="2",H359,0)</f>
        <v>0</v>
      </c>
      <c r="W359" s="43">
        <f>IF(AG359="2",I359,0)</f>
        <v>0</v>
      </c>
      <c r="X359" s="43">
        <f>IF(AG359="0",J359,0)</f>
        <v>0</v>
      </c>
      <c r="Y359" s="34" t="s">
        <v>200</v>
      </c>
      <c r="Z359" s="18">
        <f>IF(AD359=0,J359,0)</f>
        <v>0</v>
      </c>
      <c r="AA359" s="18">
        <f>IF(AD359=15,J359,0)</f>
        <v>0</v>
      </c>
      <c r="AB359" s="18">
        <f>IF(AD359=21,J359,0)</f>
        <v>505.78800000000001</v>
      </c>
      <c r="AD359" s="43">
        <v>21</v>
      </c>
      <c r="AE359" s="43">
        <f>G359*0</f>
        <v>0</v>
      </c>
      <c r="AF359" s="43">
        <f>G359*(1-0)</f>
        <v>113</v>
      </c>
      <c r="AG359" s="38" t="s">
        <v>11</v>
      </c>
      <c r="AM359" s="43">
        <f>F359*AE359</f>
        <v>0</v>
      </c>
      <c r="AN359" s="43">
        <f>F359*AF359</f>
        <v>505.78800000000001</v>
      </c>
      <c r="AO359" s="44" t="s">
        <v>662</v>
      </c>
      <c r="AP359" s="44" t="s">
        <v>708</v>
      </c>
      <c r="AQ359" s="34" t="s">
        <v>716</v>
      </c>
      <c r="AS359" s="43">
        <f>AM359+AN359</f>
        <v>505.78800000000001</v>
      </c>
      <c r="AT359" s="43">
        <f>G359/(100-AU359)*100</f>
        <v>112.99999999999999</v>
      </c>
      <c r="AU359" s="43">
        <v>0</v>
      </c>
      <c r="AV359" s="43">
        <f>L359</f>
        <v>0</v>
      </c>
    </row>
    <row r="360" spans="1:48">
      <c r="D360" s="85" t="s">
        <v>612</v>
      </c>
      <c r="F360" s="77">
        <v>4.476</v>
      </c>
      <c r="G360" s="26"/>
    </row>
    <row r="361" spans="1:48">
      <c r="A361" s="5" t="s">
        <v>184</v>
      </c>
      <c r="B361" s="5" t="s">
        <v>200</v>
      </c>
      <c r="C361" s="5" t="s">
        <v>313</v>
      </c>
      <c r="D361" s="84" t="s">
        <v>539</v>
      </c>
      <c r="E361" s="5" t="s">
        <v>621</v>
      </c>
      <c r="F361" s="76">
        <v>4.476</v>
      </c>
      <c r="G361" s="25">
        <v>294</v>
      </c>
      <c r="H361" s="18">
        <f>F361*AE361</f>
        <v>0</v>
      </c>
      <c r="I361" s="18">
        <f>J361-H361</f>
        <v>1315.944</v>
      </c>
      <c r="J361" s="18">
        <f>F361*G361</f>
        <v>1315.944</v>
      </c>
      <c r="K361" s="18">
        <v>0</v>
      </c>
      <c r="L361" s="18">
        <f>F361*K361</f>
        <v>0</v>
      </c>
      <c r="M361" s="38" t="s">
        <v>643</v>
      </c>
      <c r="P361" s="43">
        <f>IF(AG361="5",J361,0)</f>
        <v>1315.944</v>
      </c>
      <c r="R361" s="43">
        <f>IF(AG361="1",H361,0)</f>
        <v>0</v>
      </c>
      <c r="S361" s="43">
        <f>IF(AG361="1",I361,0)</f>
        <v>0</v>
      </c>
      <c r="T361" s="43">
        <f>IF(AG361="7",H361,0)</f>
        <v>0</v>
      </c>
      <c r="U361" s="43">
        <f>IF(AG361="7",I361,0)</f>
        <v>0</v>
      </c>
      <c r="V361" s="43">
        <f>IF(AG361="2",H361,0)</f>
        <v>0</v>
      </c>
      <c r="W361" s="43">
        <f>IF(AG361="2",I361,0)</f>
        <v>0</v>
      </c>
      <c r="X361" s="43">
        <f>IF(AG361="0",J361,0)</f>
        <v>0</v>
      </c>
      <c r="Y361" s="34" t="s">
        <v>200</v>
      </c>
      <c r="Z361" s="18">
        <f>IF(AD361=0,J361,0)</f>
        <v>0</v>
      </c>
      <c r="AA361" s="18">
        <f>IF(AD361=15,J361,0)</f>
        <v>0</v>
      </c>
      <c r="AB361" s="18">
        <f>IF(AD361=21,J361,0)</f>
        <v>1315.944</v>
      </c>
      <c r="AD361" s="43">
        <v>21</v>
      </c>
      <c r="AE361" s="43">
        <f>G361*0</f>
        <v>0</v>
      </c>
      <c r="AF361" s="43">
        <f>G361*(1-0)</f>
        <v>294</v>
      </c>
      <c r="AG361" s="38" t="s">
        <v>11</v>
      </c>
      <c r="AM361" s="43">
        <f>F361*AE361</f>
        <v>0</v>
      </c>
      <c r="AN361" s="43">
        <f>F361*AF361</f>
        <v>1315.944</v>
      </c>
      <c r="AO361" s="44" t="s">
        <v>662</v>
      </c>
      <c r="AP361" s="44" t="s">
        <v>708</v>
      </c>
      <c r="AQ361" s="34" t="s">
        <v>716</v>
      </c>
      <c r="AS361" s="43">
        <f>AM361+AN361</f>
        <v>1315.944</v>
      </c>
      <c r="AT361" s="43">
        <f>G361/(100-AU361)*100</f>
        <v>294</v>
      </c>
      <c r="AU361" s="43">
        <v>0</v>
      </c>
      <c r="AV361" s="43">
        <f>L361</f>
        <v>0</v>
      </c>
    </row>
    <row r="362" spans="1:48">
      <c r="D362" s="85" t="s">
        <v>612</v>
      </c>
      <c r="F362" s="77">
        <v>4.476</v>
      </c>
      <c r="G362" s="26"/>
    </row>
    <row r="363" spans="1:48">
      <c r="A363" s="5" t="s">
        <v>185</v>
      </c>
      <c r="B363" s="5" t="s">
        <v>200</v>
      </c>
      <c r="C363" s="5" t="s">
        <v>312</v>
      </c>
      <c r="D363" s="84" t="s">
        <v>537</v>
      </c>
      <c r="E363" s="5" t="s">
        <v>621</v>
      </c>
      <c r="F363" s="76">
        <v>13.427</v>
      </c>
      <c r="G363" s="25">
        <v>127</v>
      </c>
      <c r="H363" s="18">
        <f>F363*AE363</f>
        <v>0</v>
      </c>
      <c r="I363" s="18">
        <f>J363-H363</f>
        <v>1705.229</v>
      </c>
      <c r="J363" s="18">
        <f>F363*G363</f>
        <v>1705.229</v>
      </c>
      <c r="K363" s="18">
        <v>0</v>
      </c>
      <c r="L363" s="18">
        <f>F363*K363</f>
        <v>0</v>
      </c>
      <c r="M363" s="38" t="s">
        <v>643</v>
      </c>
      <c r="P363" s="43">
        <f>IF(AG363="5",J363,0)</f>
        <v>1705.229</v>
      </c>
      <c r="R363" s="43">
        <f>IF(AG363="1",H363,0)</f>
        <v>0</v>
      </c>
      <c r="S363" s="43">
        <f>IF(AG363="1",I363,0)</f>
        <v>0</v>
      </c>
      <c r="T363" s="43">
        <f>IF(AG363="7",H363,0)</f>
        <v>0</v>
      </c>
      <c r="U363" s="43">
        <f>IF(AG363="7",I363,0)</f>
        <v>0</v>
      </c>
      <c r="V363" s="43">
        <f>IF(AG363="2",H363,0)</f>
        <v>0</v>
      </c>
      <c r="W363" s="43">
        <f>IF(AG363="2",I363,0)</f>
        <v>0</v>
      </c>
      <c r="X363" s="43">
        <f>IF(AG363="0",J363,0)</f>
        <v>0</v>
      </c>
      <c r="Y363" s="34" t="s">
        <v>200</v>
      </c>
      <c r="Z363" s="18">
        <f>IF(AD363=0,J363,0)</f>
        <v>0</v>
      </c>
      <c r="AA363" s="18">
        <f>IF(AD363=15,J363,0)</f>
        <v>0</v>
      </c>
      <c r="AB363" s="18">
        <f>IF(AD363=21,J363,0)</f>
        <v>1705.229</v>
      </c>
      <c r="AD363" s="43">
        <v>21</v>
      </c>
      <c r="AE363" s="43">
        <f>G363*0</f>
        <v>0</v>
      </c>
      <c r="AF363" s="43">
        <f>G363*(1-0)</f>
        <v>127</v>
      </c>
      <c r="AG363" s="38" t="s">
        <v>11</v>
      </c>
      <c r="AM363" s="43">
        <f>F363*AE363</f>
        <v>0</v>
      </c>
      <c r="AN363" s="43">
        <f>F363*AF363</f>
        <v>1705.229</v>
      </c>
      <c r="AO363" s="44" t="s">
        <v>662</v>
      </c>
      <c r="AP363" s="44" t="s">
        <v>708</v>
      </c>
      <c r="AQ363" s="34" t="s">
        <v>716</v>
      </c>
      <c r="AS363" s="43">
        <f>AM363+AN363</f>
        <v>1705.229</v>
      </c>
      <c r="AT363" s="43">
        <f>G363/(100-AU363)*100</f>
        <v>127</v>
      </c>
      <c r="AU363" s="43">
        <v>0</v>
      </c>
      <c r="AV363" s="43">
        <f>L363</f>
        <v>0</v>
      </c>
    </row>
    <row r="364" spans="1:48">
      <c r="D364" s="85" t="s">
        <v>613</v>
      </c>
      <c r="F364" s="77">
        <v>13.427</v>
      </c>
      <c r="G364" s="26"/>
    </row>
    <row r="365" spans="1:48">
      <c r="A365" s="5" t="s">
        <v>186</v>
      </c>
      <c r="B365" s="5" t="s">
        <v>200</v>
      </c>
      <c r="C365" s="5" t="s">
        <v>224</v>
      </c>
      <c r="D365" s="84" t="s">
        <v>384</v>
      </c>
      <c r="E365" s="5" t="s">
        <v>621</v>
      </c>
      <c r="F365" s="76">
        <v>4.476</v>
      </c>
      <c r="G365" s="25">
        <v>9.9</v>
      </c>
      <c r="H365" s="18">
        <f>F365*AE365</f>
        <v>0</v>
      </c>
      <c r="I365" s="18">
        <f>J365-H365</f>
        <v>44.312400000000004</v>
      </c>
      <c r="J365" s="18">
        <f>F365*G365</f>
        <v>44.312400000000004</v>
      </c>
      <c r="K365" s="18">
        <v>0</v>
      </c>
      <c r="L365" s="18">
        <f>F365*K365</f>
        <v>0</v>
      </c>
      <c r="M365" s="38" t="s">
        <v>643</v>
      </c>
      <c r="P365" s="43">
        <f>IF(AG365="5",J365,0)</f>
        <v>44.312400000000004</v>
      </c>
      <c r="R365" s="43">
        <f>IF(AG365="1",H365,0)</f>
        <v>0</v>
      </c>
      <c r="S365" s="43">
        <f>IF(AG365="1",I365,0)</f>
        <v>0</v>
      </c>
      <c r="T365" s="43">
        <f>IF(AG365="7",H365,0)</f>
        <v>0</v>
      </c>
      <c r="U365" s="43">
        <f>IF(AG365="7",I365,0)</f>
        <v>0</v>
      </c>
      <c r="V365" s="43">
        <f>IF(AG365="2",H365,0)</f>
        <v>0</v>
      </c>
      <c r="W365" s="43">
        <f>IF(AG365="2",I365,0)</f>
        <v>0</v>
      </c>
      <c r="X365" s="43">
        <f>IF(AG365="0",J365,0)</f>
        <v>0</v>
      </c>
      <c r="Y365" s="34" t="s">
        <v>200</v>
      </c>
      <c r="Z365" s="18">
        <f>IF(AD365=0,J365,0)</f>
        <v>0</v>
      </c>
      <c r="AA365" s="18">
        <f>IF(AD365=15,J365,0)</f>
        <v>0</v>
      </c>
      <c r="AB365" s="18">
        <f>IF(AD365=21,J365,0)</f>
        <v>44.312400000000004</v>
      </c>
      <c r="AD365" s="43">
        <v>21</v>
      </c>
      <c r="AE365" s="43">
        <f>G365*0</f>
        <v>0</v>
      </c>
      <c r="AF365" s="43">
        <f>G365*(1-0)</f>
        <v>9.9</v>
      </c>
      <c r="AG365" s="38" t="s">
        <v>11</v>
      </c>
      <c r="AM365" s="43">
        <f>F365*AE365</f>
        <v>0</v>
      </c>
      <c r="AN365" s="43">
        <f>F365*AF365</f>
        <v>44.312400000000004</v>
      </c>
      <c r="AO365" s="44" t="s">
        <v>662</v>
      </c>
      <c r="AP365" s="44" t="s">
        <v>708</v>
      </c>
      <c r="AQ365" s="34" t="s">
        <v>716</v>
      </c>
      <c r="AS365" s="43">
        <f>AM365+AN365</f>
        <v>44.312400000000004</v>
      </c>
      <c r="AT365" s="43">
        <f>G365/(100-AU365)*100</f>
        <v>9.9</v>
      </c>
      <c r="AU365" s="43">
        <v>0</v>
      </c>
      <c r="AV365" s="43">
        <f>L365</f>
        <v>0</v>
      </c>
    </row>
    <row r="366" spans="1:48">
      <c r="A366" s="5" t="s">
        <v>187</v>
      </c>
      <c r="B366" s="5" t="s">
        <v>200</v>
      </c>
      <c r="C366" s="5" t="s">
        <v>245</v>
      </c>
      <c r="D366" s="84" t="s">
        <v>436</v>
      </c>
      <c r="E366" s="5" t="s">
        <v>621</v>
      </c>
      <c r="F366" s="76">
        <v>4.476</v>
      </c>
      <c r="G366" s="25">
        <v>100</v>
      </c>
      <c r="H366" s="18">
        <f>F366*AE366</f>
        <v>0</v>
      </c>
      <c r="I366" s="18">
        <f>J366-H366</f>
        <v>447.6</v>
      </c>
      <c r="J366" s="18">
        <f>F366*G366</f>
        <v>447.6</v>
      </c>
      <c r="K366" s="18">
        <v>0</v>
      </c>
      <c r="L366" s="18">
        <f>F366*K366</f>
        <v>0</v>
      </c>
      <c r="M366" s="38" t="s">
        <v>643</v>
      </c>
      <c r="P366" s="43">
        <f>IF(AG366="5",J366,0)</f>
        <v>447.6</v>
      </c>
      <c r="R366" s="43">
        <f>IF(AG366="1",H366,0)</f>
        <v>0</v>
      </c>
      <c r="S366" s="43">
        <f>IF(AG366="1",I366,0)</f>
        <v>0</v>
      </c>
      <c r="T366" s="43">
        <f>IF(AG366="7",H366,0)</f>
        <v>0</v>
      </c>
      <c r="U366" s="43">
        <f>IF(AG366="7",I366,0)</f>
        <v>0</v>
      </c>
      <c r="V366" s="43">
        <f>IF(AG366="2",H366,0)</f>
        <v>0</v>
      </c>
      <c r="W366" s="43">
        <f>IF(AG366="2",I366,0)</f>
        <v>0</v>
      </c>
      <c r="X366" s="43">
        <f>IF(AG366="0",J366,0)</f>
        <v>0</v>
      </c>
      <c r="Y366" s="34" t="s">
        <v>200</v>
      </c>
      <c r="Z366" s="18">
        <f>IF(AD366=0,J366,0)</f>
        <v>0</v>
      </c>
      <c r="AA366" s="18">
        <f>IF(AD366=15,J366,0)</f>
        <v>0</v>
      </c>
      <c r="AB366" s="18">
        <f>IF(AD366=21,J366,0)</f>
        <v>447.6</v>
      </c>
      <c r="AD366" s="43">
        <v>21</v>
      </c>
      <c r="AE366" s="43">
        <f>G366*0</f>
        <v>0</v>
      </c>
      <c r="AF366" s="43">
        <f>G366*(1-0)</f>
        <v>100</v>
      </c>
      <c r="AG366" s="38" t="s">
        <v>11</v>
      </c>
      <c r="AM366" s="43">
        <f>F366*AE366</f>
        <v>0</v>
      </c>
      <c r="AN366" s="43">
        <f>F366*AF366</f>
        <v>447.6</v>
      </c>
      <c r="AO366" s="44" t="s">
        <v>662</v>
      </c>
      <c r="AP366" s="44" t="s">
        <v>708</v>
      </c>
      <c r="AQ366" s="34" t="s">
        <v>716</v>
      </c>
      <c r="AS366" s="43">
        <f>AM366+AN366</f>
        <v>447.6</v>
      </c>
      <c r="AT366" s="43">
        <f>G366/(100-AU366)*100</f>
        <v>100</v>
      </c>
      <c r="AU366" s="43">
        <v>0</v>
      </c>
      <c r="AV366" s="43">
        <f>L366</f>
        <v>0</v>
      </c>
    </row>
    <row r="367" spans="1:48">
      <c r="A367" s="5" t="s">
        <v>188</v>
      </c>
      <c r="B367" s="5" t="s">
        <v>200</v>
      </c>
      <c r="C367" s="5" t="s">
        <v>223</v>
      </c>
      <c r="D367" s="84" t="s">
        <v>383</v>
      </c>
      <c r="E367" s="5" t="s">
        <v>621</v>
      </c>
      <c r="F367" s="76">
        <v>4.476</v>
      </c>
      <c r="G367" s="25">
        <v>329</v>
      </c>
      <c r="H367" s="18">
        <f>F367*AE367</f>
        <v>13.387696215144381</v>
      </c>
      <c r="I367" s="18">
        <f>J367-H367</f>
        <v>1459.2163037848557</v>
      </c>
      <c r="J367" s="18">
        <f>F367*G367</f>
        <v>1472.604</v>
      </c>
      <c r="K367" s="18">
        <v>0</v>
      </c>
      <c r="L367" s="18">
        <f>F367*K367</f>
        <v>0</v>
      </c>
      <c r="M367" s="38" t="s">
        <v>643</v>
      </c>
      <c r="P367" s="43">
        <f>IF(AG367="5",J367,0)</f>
        <v>1472.604</v>
      </c>
      <c r="R367" s="43">
        <f>IF(AG367="1",H367,0)</f>
        <v>0</v>
      </c>
      <c r="S367" s="43">
        <f>IF(AG367="1",I367,0)</f>
        <v>0</v>
      </c>
      <c r="T367" s="43">
        <f>IF(AG367="7",H367,0)</f>
        <v>0</v>
      </c>
      <c r="U367" s="43">
        <f>IF(AG367="7",I367,0)</f>
        <v>0</v>
      </c>
      <c r="V367" s="43">
        <f>IF(AG367="2",H367,0)</f>
        <v>0</v>
      </c>
      <c r="W367" s="43">
        <f>IF(AG367="2",I367,0)</f>
        <v>0</v>
      </c>
      <c r="X367" s="43">
        <f>IF(AG367="0",J367,0)</f>
        <v>0</v>
      </c>
      <c r="Y367" s="34" t="s">
        <v>200</v>
      </c>
      <c r="Z367" s="18">
        <f>IF(AD367=0,J367,0)</f>
        <v>0</v>
      </c>
      <c r="AA367" s="18">
        <f>IF(AD367=15,J367,0)</f>
        <v>0</v>
      </c>
      <c r="AB367" s="18">
        <f>IF(AD367=21,J367,0)</f>
        <v>1472.604</v>
      </c>
      <c r="AD367" s="43">
        <v>21</v>
      </c>
      <c r="AE367" s="43">
        <f>G367*0.00909117197504854</f>
        <v>2.9909955797909697</v>
      </c>
      <c r="AF367" s="43">
        <f>G367*(1-0.00909117197504854)</f>
        <v>326.00900442020907</v>
      </c>
      <c r="AG367" s="38" t="s">
        <v>11</v>
      </c>
      <c r="AM367" s="43">
        <f>F367*AE367</f>
        <v>13.387696215144381</v>
      </c>
      <c r="AN367" s="43">
        <f>F367*AF367</f>
        <v>1459.2163037848559</v>
      </c>
      <c r="AO367" s="44" t="s">
        <v>662</v>
      </c>
      <c r="AP367" s="44" t="s">
        <v>708</v>
      </c>
      <c r="AQ367" s="34" t="s">
        <v>716</v>
      </c>
      <c r="AS367" s="43">
        <f>AM367+AN367</f>
        <v>1472.6040000000003</v>
      </c>
      <c r="AT367" s="43">
        <f>G367/(100-AU367)*100</f>
        <v>329</v>
      </c>
      <c r="AU367" s="43">
        <v>0</v>
      </c>
      <c r="AV367" s="43">
        <f>L367</f>
        <v>0</v>
      </c>
    </row>
    <row r="368" spans="1:48">
      <c r="D368" s="85" t="s">
        <v>612</v>
      </c>
      <c r="F368" s="77">
        <v>4.476</v>
      </c>
      <c r="G368" s="26"/>
    </row>
    <row r="369" spans="1:48">
      <c r="A369" s="5" t="s">
        <v>189</v>
      </c>
      <c r="B369" s="5" t="s">
        <v>200</v>
      </c>
      <c r="C369" s="5" t="s">
        <v>225</v>
      </c>
      <c r="D369" s="84" t="s">
        <v>385</v>
      </c>
      <c r="E369" s="5" t="s">
        <v>621</v>
      </c>
      <c r="F369" s="76">
        <v>44.756999999999998</v>
      </c>
      <c r="G369" s="25">
        <v>7.9</v>
      </c>
      <c r="H369" s="18">
        <f>F369*AE369</f>
        <v>0</v>
      </c>
      <c r="I369" s="18">
        <f>J369-H369</f>
        <v>353.58030000000002</v>
      </c>
      <c r="J369" s="18">
        <f>F369*G369</f>
        <v>353.58030000000002</v>
      </c>
      <c r="K369" s="18">
        <v>0</v>
      </c>
      <c r="L369" s="18">
        <f>F369*K369</f>
        <v>0</v>
      </c>
      <c r="M369" s="38" t="s">
        <v>643</v>
      </c>
      <c r="P369" s="43">
        <f>IF(AG369="5",J369,0)</f>
        <v>353.58030000000002</v>
      </c>
      <c r="R369" s="43">
        <f>IF(AG369="1",H369,0)</f>
        <v>0</v>
      </c>
      <c r="S369" s="43">
        <f>IF(AG369="1",I369,0)</f>
        <v>0</v>
      </c>
      <c r="T369" s="43">
        <f>IF(AG369="7",H369,0)</f>
        <v>0</v>
      </c>
      <c r="U369" s="43">
        <f>IF(AG369="7",I369,0)</f>
        <v>0</v>
      </c>
      <c r="V369" s="43">
        <f>IF(AG369="2",H369,0)</f>
        <v>0</v>
      </c>
      <c r="W369" s="43">
        <f>IF(AG369="2",I369,0)</f>
        <v>0</v>
      </c>
      <c r="X369" s="43">
        <f>IF(AG369="0",J369,0)</f>
        <v>0</v>
      </c>
      <c r="Y369" s="34" t="s">
        <v>200</v>
      </c>
      <c r="Z369" s="18">
        <f>IF(AD369=0,J369,0)</f>
        <v>0</v>
      </c>
      <c r="AA369" s="18">
        <f>IF(AD369=15,J369,0)</f>
        <v>0</v>
      </c>
      <c r="AB369" s="18">
        <f>IF(AD369=21,J369,0)</f>
        <v>353.58030000000002</v>
      </c>
      <c r="AD369" s="43">
        <v>21</v>
      </c>
      <c r="AE369" s="43">
        <f>G369*0</f>
        <v>0</v>
      </c>
      <c r="AF369" s="43">
        <f>G369*(1-0)</f>
        <v>7.9</v>
      </c>
      <c r="AG369" s="38" t="s">
        <v>11</v>
      </c>
      <c r="AM369" s="43">
        <f>F369*AE369</f>
        <v>0</v>
      </c>
      <c r="AN369" s="43">
        <f>F369*AF369</f>
        <v>353.58030000000002</v>
      </c>
      <c r="AO369" s="44" t="s">
        <v>662</v>
      </c>
      <c r="AP369" s="44" t="s">
        <v>708</v>
      </c>
      <c r="AQ369" s="34" t="s">
        <v>716</v>
      </c>
      <c r="AS369" s="43">
        <f>AM369+AN369</f>
        <v>353.58030000000002</v>
      </c>
      <c r="AT369" s="43">
        <f>G369/(100-AU369)*100</f>
        <v>7.9</v>
      </c>
      <c r="AU369" s="43">
        <v>0</v>
      </c>
      <c r="AV369" s="43">
        <f>L369</f>
        <v>0</v>
      </c>
    </row>
    <row r="370" spans="1:48">
      <c r="D370" s="85" t="s">
        <v>614</v>
      </c>
      <c r="F370" s="77">
        <v>44.756999999999998</v>
      </c>
      <c r="G370" s="26"/>
    </row>
    <row r="371" spans="1:48">
      <c r="A371" s="8" t="s">
        <v>190</v>
      </c>
      <c r="B371" s="8" t="s">
        <v>200</v>
      </c>
      <c r="C371" s="8" t="s">
        <v>226</v>
      </c>
      <c r="D371" s="88" t="s">
        <v>387</v>
      </c>
      <c r="E371" s="8" t="s">
        <v>621</v>
      </c>
      <c r="F371" s="79">
        <v>4.476</v>
      </c>
      <c r="G371" s="29">
        <v>500</v>
      </c>
      <c r="H371" s="20">
        <f>F371*AE371</f>
        <v>0</v>
      </c>
      <c r="I371" s="20">
        <f>J371-H371</f>
        <v>2238</v>
      </c>
      <c r="J371" s="20">
        <f>F371*G371</f>
        <v>2238</v>
      </c>
      <c r="K371" s="20">
        <v>0</v>
      </c>
      <c r="L371" s="20">
        <f>F371*K371</f>
        <v>0</v>
      </c>
      <c r="M371" s="40" t="s">
        <v>643</v>
      </c>
      <c r="P371" s="43">
        <f>IF(AG371="5",J371,0)</f>
        <v>2238</v>
      </c>
      <c r="R371" s="43">
        <f>IF(AG371="1",H371,0)</f>
        <v>0</v>
      </c>
      <c r="S371" s="43">
        <f>IF(AG371="1",I371,0)</f>
        <v>0</v>
      </c>
      <c r="T371" s="43">
        <f>IF(AG371="7",H371,0)</f>
        <v>0</v>
      </c>
      <c r="U371" s="43">
        <f>IF(AG371="7",I371,0)</f>
        <v>0</v>
      </c>
      <c r="V371" s="43">
        <f>IF(AG371="2",H371,0)</f>
        <v>0</v>
      </c>
      <c r="W371" s="43">
        <f>IF(AG371="2",I371,0)</f>
        <v>0</v>
      </c>
      <c r="X371" s="43">
        <f>IF(AG371="0",J371,0)</f>
        <v>0</v>
      </c>
      <c r="Y371" s="34" t="s">
        <v>200</v>
      </c>
      <c r="Z371" s="18">
        <f>IF(AD371=0,J371,0)</f>
        <v>0</v>
      </c>
      <c r="AA371" s="18">
        <f>IF(AD371=15,J371,0)</f>
        <v>0</v>
      </c>
      <c r="AB371" s="18">
        <f>IF(AD371=21,J371,0)</f>
        <v>2238</v>
      </c>
      <c r="AD371" s="43">
        <v>21</v>
      </c>
      <c r="AE371" s="43">
        <f>G371*0</f>
        <v>0</v>
      </c>
      <c r="AF371" s="43">
        <f>G371*(1-0)</f>
        <v>500</v>
      </c>
      <c r="AG371" s="38" t="s">
        <v>11</v>
      </c>
      <c r="AM371" s="43">
        <f>F371*AE371</f>
        <v>0</v>
      </c>
      <c r="AN371" s="43">
        <f>F371*AF371</f>
        <v>2238</v>
      </c>
      <c r="AO371" s="44" t="s">
        <v>662</v>
      </c>
      <c r="AP371" s="44" t="s">
        <v>708</v>
      </c>
      <c r="AQ371" s="34" t="s">
        <v>716</v>
      </c>
      <c r="AS371" s="43">
        <f>AM371+AN371</f>
        <v>2238</v>
      </c>
      <c r="AT371" s="43">
        <f>G371/(100-AU371)*100</f>
        <v>500</v>
      </c>
      <c r="AU371" s="43">
        <v>0</v>
      </c>
      <c r="AV371" s="43">
        <f>L371</f>
        <v>0</v>
      </c>
    </row>
    <row r="372" spans="1:48">
      <c r="A372" s="9"/>
      <c r="B372" s="9"/>
      <c r="C372" s="9"/>
      <c r="D372" s="89"/>
      <c r="E372" s="9"/>
      <c r="F372" s="9"/>
      <c r="G372" s="9"/>
      <c r="H372" s="143" t="s">
        <v>632</v>
      </c>
      <c r="I372" s="130"/>
      <c r="J372" s="48">
        <f>J13+J16+J21+J30+J34+J37+J42+J47+J58+J61+J74+J88+J103+J118+J123+J127+J136+J145+J154+J161+J166+J171+J189+J192+J198+J207+J212+J215+J236+J239+J257+J269+J278+J281+J284+J286+J289+J292+J306+J310+J315+J320+J322+J338+J341+J344+J347+J353+J356</f>
        <v>2729216.8837700002</v>
      </c>
      <c r="K372" s="9"/>
      <c r="L372" s="9"/>
      <c r="M372" s="9"/>
    </row>
    <row r="373" spans="1:48" ht="11.25" customHeight="1">
      <c r="A373" s="10" t="s">
        <v>191</v>
      </c>
    </row>
    <row r="374" spans="1:48">
      <c r="A374" s="98"/>
      <c r="B374" s="99"/>
      <c r="C374" s="99"/>
      <c r="D374" s="99"/>
      <c r="E374" s="99"/>
      <c r="F374" s="99"/>
      <c r="G374" s="99"/>
      <c r="H374" s="99"/>
      <c r="I374" s="99"/>
      <c r="J374" s="99"/>
      <c r="K374" s="99"/>
      <c r="L374" s="99"/>
      <c r="M374" s="99"/>
    </row>
  </sheetData>
  <sheetProtection password="C943" sheet="1" objects="1" scenarios="1" selectLockedCells="1"/>
  <mergeCells count="25">
    <mergeCell ref="K4:M5"/>
    <mergeCell ref="K6:M7"/>
    <mergeCell ref="A1:M1"/>
    <mergeCell ref="A2:C3"/>
    <mergeCell ref="D2:D3"/>
    <mergeCell ref="E2:F3"/>
    <mergeCell ref="J2:J3"/>
    <mergeCell ref="K2:M3"/>
    <mergeCell ref="A6:C7"/>
    <mergeCell ref="D6:D7"/>
    <mergeCell ref="E6:F7"/>
    <mergeCell ref="J6:J7"/>
    <mergeCell ref="A4:C5"/>
    <mergeCell ref="D4:D5"/>
    <mergeCell ref="E4:F5"/>
    <mergeCell ref="J4:J5"/>
    <mergeCell ref="H10:J10"/>
    <mergeCell ref="K10:L10"/>
    <mergeCell ref="H372:I372"/>
    <mergeCell ref="A374:M374"/>
    <mergeCell ref="A8:C9"/>
    <mergeCell ref="D8:D9"/>
    <mergeCell ref="E8:F9"/>
    <mergeCell ref="J8:J9"/>
    <mergeCell ref="K8:M9"/>
  </mergeCells>
  <pageMargins left="0.39400000000000002" right="0.39400000000000002" top="0.59099999999999997" bottom="0.59099999999999997" header="0.5" footer="0.5"/>
  <pageSetup paperSize="9" scale="8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Krycí list rozpočtu</vt:lpstr>
      <vt:lpstr>Stavební rozpočet - součet</vt:lpstr>
      <vt:lpstr>Stavební rozpočet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Jansa Tomáš, Ing.</dc:creator>
  <cp:lastModifiedBy>45511</cp:lastModifiedBy>
  <cp:lastPrinted>2018-10-25T07:22:24Z</cp:lastPrinted>
  <dcterms:created xsi:type="dcterms:W3CDTF">2018-09-24T12:16:06Z</dcterms:created>
  <dcterms:modified xsi:type="dcterms:W3CDTF">2019-02-15T12:58:15Z</dcterms:modified>
</cp:coreProperties>
</file>