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.xml" ContentType="application/vnd.openxmlformats-officedocument.themeOverrid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fnol.loc\Shares\Community\Controlling\Databases\Grafy\Medix\"/>
    </mc:Choice>
  </mc:AlternateContent>
  <xr:revisionPtr revIDLastSave="0" documentId="13_ncr:1_{B219F9C0-0D78-48C8-80E5-8029A8735D4D}" xr6:coauthVersionLast="36" xr6:coauthVersionMax="47" xr10:uidLastSave="{00000000-0000-0000-0000-000000000000}"/>
  <bookViews>
    <workbookView xWindow="2736" yWindow="2736" windowWidth="21600" windowHeight="11388" xr2:uid="{0C06920E-1105-439A-8C65-F376A5A81E92}"/>
  </bookViews>
  <sheets>
    <sheet name="strana1" sheetId="1" r:id="rId1"/>
    <sheet name="strana2" sheetId="3" r:id="rId2"/>
    <sheet name="strana3" sheetId="4" r:id="rId3"/>
    <sheet name="DATA" sheetId="2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2" i="4" l="1"/>
  <c r="I82" i="4"/>
  <c r="H82" i="4"/>
  <c r="G82" i="4"/>
  <c r="F82" i="4"/>
  <c r="E82" i="4"/>
  <c r="D82" i="4"/>
  <c r="C82" i="4"/>
  <c r="B82" i="4"/>
  <c r="A82" i="4"/>
  <c r="J57" i="4"/>
  <c r="I57" i="4"/>
  <c r="H57" i="4"/>
  <c r="G57" i="4"/>
  <c r="F57" i="4"/>
  <c r="E57" i="4"/>
  <c r="D57" i="4"/>
  <c r="C57" i="4"/>
  <c r="B57" i="4"/>
  <c r="A57" i="4"/>
  <c r="J56" i="4"/>
  <c r="I56" i="4"/>
  <c r="H56" i="4"/>
  <c r="G56" i="4"/>
  <c r="F56" i="4"/>
  <c r="E56" i="4"/>
  <c r="D56" i="4"/>
  <c r="C56" i="4"/>
  <c r="B56" i="4"/>
  <c r="A56" i="4"/>
  <c r="B55" i="4"/>
  <c r="J32" i="4"/>
  <c r="I32" i="4"/>
  <c r="H32" i="4"/>
  <c r="G32" i="4"/>
  <c r="F32" i="4"/>
  <c r="E32" i="4"/>
  <c r="D32" i="4"/>
  <c r="C32" i="4"/>
  <c r="B32" i="4"/>
  <c r="A32" i="4"/>
  <c r="J31" i="4"/>
  <c r="I31" i="4"/>
  <c r="H31" i="4"/>
  <c r="G31" i="4"/>
  <c r="F31" i="4"/>
  <c r="E31" i="4"/>
  <c r="D31" i="4"/>
  <c r="C31" i="4"/>
  <c r="B31" i="4"/>
  <c r="A31" i="4"/>
  <c r="J6" i="4"/>
  <c r="I6" i="4"/>
  <c r="H6" i="4"/>
  <c r="G6" i="4"/>
  <c r="F6" i="4"/>
  <c r="E6" i="4"/>
  <c r="D6" i="4"/>
  <c r="C6" i="4"/>
  <c r="B6" i="4"/>
  <c r="A6" i="4"/>
  <c r="J5" i="4"/>
  <c r="I5" i="4"/>
  <c r="H5" i="4"/>
  <c r="G5" i="4"/>
  <c r="F5" i="4"/>
  <c r="E5" i="4"/>
  <c r="D5" i="4"/>
  <c r="C5" i="4"/>
  <c r="B5" i="4"/>
  <c r="A5" i="4"/>
  <c r="J4" i="4"/>
  <c r="I4" i="4"/>
  <c r="H4" i="4"/>
  <c r="G4" i="4"/>
  <c r="F4" i="4"/>
  <c r="E4" i="4"/>
  <c r="D4" i="4"/>
  <c r="C4" i="4"/>
  <c r="B4" i="4"/>
  <c r="A4" i="4"/>
  <c r="B3" i="4"/>
  <c r="F2" i="4"/>
  <c r="F54" i="4" s="1"/>
  <c r="F81" i="4" s="1"/>
  <c r="E2" i="4"/>
  <c r="E30" i="4" s="1"/>
  <c r="D2" i="4"/>
  <c r="D30" i="4" s="1"/>
  <c r="C2" i="4"/>
  <c r="C30" i="4" s="1"/>
  <c r="B2" i="4"/>
  <c r="B54" i="4" s="1"/>
  <c r="B81" i="4" s="1"/>
  <c r="A2" i="4"/>
  <c r="A30" i="4" s="1"/>
  <c r="G3" i="4" l="1"/>
  <c r="H55" i="4"/>
  <c r="D3" i="4"/>
  <c r="C55" i="4"/>
  <c r="D55" i="4"/>
  <c r="J3" i="4"/>
  <c r="G55" i="4"/>
  <c r="F3" i="4"/>
  <c r="I3" i="4"/>
  <c r="J55" i="4"/>
  <c r="I55" i="4"/>
  <c r="C3" i="4"/>
  <c r="H3" i="4"/>
  <c r="E55" i="4"/>
  <c r="F55" i="4"/>
  <c r="E3" i="4"/>
  <c r="B30" i="4"/>
  <c r="A54" i="4"/>
  <c r="A81" i="4" s="1"/>
  <c r="C54" i="4"/>
  <c r="C81" i="4" s="1"/>
  <c r="D54" i="4"/>
  <c r="D81" i="4" s="1"/>
  <c r="E54" i="4"/>
  <c r="E81" i="4" s="1"/>
  <c r="F30" i="4"/>
  <c r="J80" i="1"/>
  <c r="I80" i="1"/>
  <c r="H80" i="1"/>
  <c r="G80" i="1"/>
  <c r="F80" i="1"/>
  <c r="E80" i="1"/>
  <c r="D80" i="1"/>
  <c r="C80" i="1"/>
  <c r="B80" i="1"/>
  <c r="A80" i="1"/>
  <c r="J79" i="1"/>
  <c r="I79" i="1"/>
  <c r="H79" i="1"/>
  <c r="G79" i="1"/>
  <c r="F79" i="1"/>
  <c r="E79" i="1"/>
  <c r="D79" i="1"/>
  <c r="C79" i="1"/>
  <c r="B79" i="1"/>
  <c r="A79" i="1"/>
  <c r="C110" i="3"/>
  <c r="C109" i="3"/>
  <c r="D110" i="3"/>
  <c r="D109" i="3"/>
  <c r="E110" i="3"/>
  <c r="E109" i="3"/>
  <c r="F110" i="3"/>
  <c r="F109" i="3"/>
  <c r="F84" i="3"/>
  <c r="F83" i="3"/>
  <c r="E84" i="3"/>
  <c r="E83" i="3"/>
  <c r="D84" i="3"/>
  <c r="D83" i="3"/>
  <c r="C84" i="3"/>
  <c r="C83" i="3"/>
  <c r="C38" i="3"/>
  <c r="C37" i="3"/>
  <c r="D38" i="3"/>
  <c r="D37" i="3"/>
  <c r="E38" i="3"/>
  <c r="E37" i="3"/>
  <c r="F38" i="3"/>
  <c r="F37" i="3"/>
  <c r="F12" i="3"/>
  <c r="F11" i="3"/>
  <c r="F10" i="3"/>
  <c r="F9" i="3"/>
  <c r="E12" i="3"/>
  <c r="E11" i="3"/>
  <c r="E10" i="3"/>
  <c r="E9" i="3"/>
  <c r="D12" i="3"/>
  <c r="D11" i="3"/>
  <c r="D10" i="3"/>
  <c r="D9" i="3"/>
  <c r="C12" i="3"/>
  <c r="C11" i="3"/>
  <c r="C10" i="3"/>
  <c r="C9" i="3"/>
  <c r="C54" i="1"/>
  <c r="C53" i="1"/>
  <c r="D54" i="1"/>
  <c r="D53" i="1"/>
  <c r="E53" i="1"/>
  <c r="E54" i="1"/>
  <c r="F54" i="1"/>
  <c r="F53" i="1"/>
  <c r="F29" i="1"/>
  <c r="F28" i="1"/>
  <c r="E29" i="1"/>
  <c r="E28" i="1"/>
  <c r="D28" i="1"/>
  <c r="D29" i="1"/>
  <c r="C29" i="1"/>
  <c r="C28" i="1"/>
  <c r="F4" i="1"/>
  <c r="F3" i="1"/>
  <c r="E4" i="1"/>
  <c r="E3" i="1"/>
  <c r="D3" i="1"/>
  <c r="D4" i="1"/>
  <c r="C4" i="1"/>
  <c r="C3" i="1"/>
  <c r="F2" i="1"/>
  <c r="F6" i="3" s="1"/>
  <c r="E2" i="1"/>
  <c r="E52" i="1" s="1"/>
  <c r="D2" i="1"/>
  <c r="D52" i="1" s="1"/>
  <c r="C2" i="1"/>
  <c r="C6" i="3" s="1"/>
  <c r="J110" i="3"/>
  <c r="J109" i="3"/>
  <c r="I110" i="3"/>
  <c r="I109" i="3"/>
  <c r="H110" i="3"/>
  <c r="H109" i="3"/>
  <c r="G110" i="3"/>
  <c r="G109" i="3"/>
  <c r="B110" i="3"/>
  <c r="B109" i="3"/>
  <c r="J84" i="3"/>
  <c r="J83" i="3"/>
  <c r="I84" i="3"/>
  <c r="I83" i="3"/>
  <c r="H84" i="3"/>
  <c r="H83" i="3"/>
  <c r="G84" i="3"/>
  <c r="G83" i="3"/>
  <c r="B84" i="3"/>
  <c r="B83" i="3"/>
  <c r="J38" i="3"/>
  <c r="J37" i="3"/>
  <c r="I38" i="3"/>
  <c r="I37" i="3"/>
  <c r="H38" i="3"/>
  <c r="H37" i="3"/>
  <c r="G38" i="3"/>
  <c r="G37" i="3"/>
  <c r="B38" i="3"/>
  <c r="B37" i="3"/>
  <c r="A110" i="3"/>
  <c r="A109" i="3"/>
  <c r="A84" i="3"/>
  <c r="A83" i="3"/>
  <c r="A38" i="3"/>
  <c r="A37" i="3"/>
  <c r="G11" i="3"/>
  <c r="H11" i="3"/>
  <c r="I11" i="3"/>
  <c r="J11" i="3"/>
  <c r="J12" i="3"/>
  <c r="I12" i="3"/>
  <c r="H12" i="3"/>
  <c r="G12" i="3"/>
  <c r="B12" i="3"/>
  <c r="B11" i="3"/>
  <c r="A12" i="3"/>
  <c r="A11" i="3"/>
  <c r="B8" i="3"/>
  <c r="B7" i="3"/>
  <c r="G10" i="3"/>
  <c r="H10" i="3"/>
  <c r="I10" i="3"/>
  <c r="J10" i="3"/>
  <c r="J9" i="3"/>
  <c r="I9" i="3"/>
  <c r="H9" i="3"/>
  <c r="G9" i="3"/>
  <c r="B9" i="3"/>
  <c r="B10" i="3"/>
  <c r="A10" i="3"/>
  <c r="A9" i="3"/>
  <c r="J54" i="1"/>
  <c r="I54" i="1"/>
  <c r="H54" i="1"/>
  <c r="G54" i="1"/>
  <c r="B54" i="1"/>
  <c r="J53" i="1"/>
  <c r="I53" i="1"/>
  <c r="H53" i="1"/>
  <c r="G53" i="1"/>
  <c r="B53" i="1"/>
  <c r="A54" i="1"/>
  <c r="A53" i="1"/>
  <c r="J28" i="1"/>
  <c r="I28" i="1"/>
  <c r="H28" i="1"/>
  <c r="G28" i="1"/>
  <c r="B28" i="1"/>
  <c r="J29" i="1"/>
  <c r="I29" i="1"/>
  <c r="H29" i="1"/>
  <c r="G29" i="1"/>
  <c r="B29" i="1"/>
  <c r="A29" i="1"/>
  <c r="J4" i="1"/>
  <c r="I4" i="1"/>
  <c r="H4" i="1"/>
  <c r="G4" i="1"/>
  <c r="A4" i="1"/>
  <c r="B4" i="1"/>
  <c r="A28" i="1"/>
  <c r="J3" i="1"/>
  <c r="I3" i="1"/>
  <c r="H3" i="1"/>
  <c r="G3" i="1"/>
  <c r="B3" i="1"/>
  <c r="A3" i="1"/>
  <c r="B2" i="1"/>
  <c r="B6" i="3" s="1"/>
  <c r="A2" i="1"/>
  <c r="A6" i="3" s="1"/>
  <c r="O4" i="2"/>
  <c r="O3" i="2"/>
  <c r="O1" i="2"/>
  <c r="P1" i="2" s="1"/>
  <c r="O2" i="2"/>
  <c r="E78" i="1" l="1"/>
  <c r="D78" i="1"/>
  <c r="A78" i="1"/>
  <c r="C78" i="1"/>
  <c r="F78" i="1"/>
  <c r="B78" i="1"/>
  <c r="P4" i="2"/>
  <c r="J2" i="1" s="1"/>
  <c r="J78" i="1" s="1"/>
  <c r="P3" i="2"/>
  <c r="I2" i="1" s="1"/>
  <c r="I78" i="1" s="1"/>
  <c r="P2" i="2"/>
  <c r="H2" i="1" s="1"/>
  <c r="H78" i="1" s="1"/>
  <c r="G2" i="1"/>
  <c r="G78" i="1" s="1"/>
  <c r="F108" i="3"/>
  <c r="F36" i="3"/>
  <c r="F82" i="3"/>
  <c r="C82" i="3"/>
  <c r="C108" i="3"/>
  <c r="C36" i="3"/>
  <c r="A108" i="3"/>
  <c r="A82" i="3"/>
  <c r="A36" i="3"/>
  <c r="B108" i="3"/>
  <c r="B36" i="3"/>
  <c r="B82" i="3"/>
  <c r="E27" i="1"/>
  <c r="A52" i="1"/>
  <c r="C52" i="1"/>
  <c r="E6" i="3"/>
  <c r="D27" i="1"/>
  <c r="F52" i="1"/>
  <c r="B52" i="1"/>
  <c r="D6" i="3"/>
  <c r="A27" i="1"/>
  <c r="C27" i="1"/>
  <c r="F27" i="1"/>
  <c r="B27" i="1"/>
  <c r="H7" i="3"/>
  <c r="G8" i="3"/>
  <c r="C8" i="3"/>
  <c r="D7" i="3"/>
  <c r="J8" i="3"/>
  <c r="F8" i="3"/>
  <c r="G7" i="3"/>
  <c r="C7" i="3"/>
  <c r="I8" i="3"/>
  <c r="E8" i="3"/>
  <c r="J7" i="3"/>
  <c r="F7" i="3"/>
  <c r="H8" i="3"/>
  <c r="D8" i="3"/>
  <c r="I7" i="3"/>
  <c r="E7" i="3"/>
  <c r="J27" i="1" l="1"/>
  <c r="J6" i="3"/>
  <c r="J108" i="3" s="1"/>
  <c r="J52" i="1"/>
  <c r="I27" i="1"/>
  <c r="I6" i="3"/>
  <c r="I108" i="3" s="1"/>
  <c r="I52" i="1"/>
  <c r="H27" i="1"/>
  <c r="H6" i="3"/>
  <c r="H108" i="3" s="1"/>
  <c r="H52" i="1"/>
  <c r="G27" i="1"/>
  <c r="G52" i="1"/>
  <c r="G6" i="3"/>
  <c r="G108" i="3" s="1"/>
  <c r="D108" i="3"/>
  <c r="D36" i="3"/>
  <c r="D82" i="3"/>
  <c r="E108" i="3"/>
  <c r="E36" i="3"/>
  <c r="E82" i="3"/>
  <c r="J82" i="3" l="1"/>
  <c r="J36" i="3"/>
  <c r="I82" i="3"/>
  <c r="I36" i="3"/>
  <c r="H82" i="3"/>
  <c r="H36" i="3"/>
  <c r="G82" i="3"/>
  <c r="G36" i="3"/>
  <c r="J2" i="4" l="1"/>
  <c r="I2" i="4"/>
  <c r="H2" i="4"/>
  <c r="G2" i="4"/>
  <c r="H54" i="4" l="1"/>
  <c r="H81" i="4" s="1"/>
  <c r="H30" i="4"/>
  <c r="G54" i="4"/>
  <c r="G81" i="4" s="1"/>
  <c r="G30" i="4"/>
  <c r="I54" i="4"/>
  <c r="I81" i="4" s="1"/>
  <c r="I30" i="4"/>
  <c r="J54" i="4"/>
  <c r="J81" i="4" s="1"/>
  <c r="J30" i="4"/>
</calcChain>
</file>

<file path=xl/sharedStrings.xml><?xml version="1.0" encoding="utf-8"?>
<sst xmlns="http://schemas.openxmlformats.org/spreadsheetml/2006/main" count="149" uniqueCount="87">
  <si>
    <t>FNOL</t>
  </si>
  <si>
    <t>M0</t>
  </si>
  <si>
    <t>M-1</t>
  </si>
  <si>
    <t>M-2</t>
  </si>
  <si>
    <t>M-3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</si>
  <si>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</si>
  <si>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</si>
  <si>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</si>
  <si>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</si>
  <si>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</si>
  <si>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</si>
  <si>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</si>
  <si>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</si>
  <si>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</si>
  <si>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</si>
  <si>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</si>
  <si>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</si>
  <si>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Utilizace měsíční a roční je BEZ víkendů a svátků v běžné pracovní době.</t>
  </si>
  <si>
    <t>Do utilizace se započítavají operace KRATŠÍ než 15 hodin a musí být splněná podmínka, že během JEDNOHO DNE je pouze JEDNA KLINIKA na JEDNOM SÁLE.</t>
  </si>
  <si>
    <t>Anesteziologická utilizace (utilizace KAR) je počítána jako součet časů:</t>
  </si>
  <si>
    <t>1. čas od návozu pacienta až po čas předání chirurgovi, krácena o dobu 2 minut,</t>
  </si>
  <si>
    <t>Chirurgická utilizace (utilizace chirurgické kliniky) je počítána z času od předání pacienta chirurgovi až po konec řezu</t>
  </si>
  <si>
    <t>minuty</t>
  </si>
  <si>
    <t>2. čas od konce řezu až po konec anestezie, krácena o dobu 5 minut</t>
  </si>
  <si>
    <t>Dřívější konec je počítán jako rozdíl mezi odvozem pacienta a časem 15:15.</t>
  </si>
  <si>
    <t>ID</t>
  </si>
  <si>
    <t>popis</t>
  </si>
  <si>
    <t>fnol</t>
  </si>
  <si>
    <t>2020</t>
  </si>
  <si>
    <t>2021</t>
  </si>
  <si>
    <t>2022</t>
  </si>
  <si>
    <t>2023</t>
  </si>
  <si>
    <t>UtilizaceRezu_fnol</t>
  </si>
  <si>
    <t>UtilizaceRezu</t>
  </si>
  <si>
    <t>UtilizaceChirurgicka</t>
  </si>
  <si>
    <t>UtilizaceChirurgicka_fnol</t>
  </si>
  <si>
    <t>UtilizaceCelkova</t>
  </si>
  <si>
    <t>UtilizaceCelkova_fnol</t>
  </si>
  <si>
    <t>UtilizaceAnesteziologicka</t>
  </si>
  <si>
    <t>UtilizaceAnesteziologicka_fnol</t>
  </si>
  <si>
    <t>PrvniRezPCT</t>
  </si>
  <si>
    <t>PrvniRezPCT_fnol</t>
  </si>
  <si>
    <t>PrvniRezMIN</t>
  </si>
  <si>
    <t>PrvniRezMIN_fnol</t>
  </si>
  <si>
    <t>PrvniRez_fnol</t>
  </si>
  <si>
    <t>PrvniRez</t>
  </si>
  <si>
    <t>PozdniKonecPCT</t>
  </si>
  <si>
    <t>PozdniKonecPCT_fnol</t>
  </si>
  <si>
    <t>PozdniKonecMIN</t>
  </si>
  <si>
    <t>PozdniKonecMIN_fnol</t>
  </si>
  <si>
    <t>PozdniKonec_fnol</t>
  </si>
  <si>
    <t>PozdniKonec</t>
  </si>
  <si>
    <t>PocetOperacnichDnu</t>
  </si>
  <si>
    <t>PocetOperacnichDnu_fnol</t>
  </si>
  <si>
    <t>NavozPoPCT_fnol</t>
  </si>
  <si>
    <t>NavozPoPCT</t>
  </si>
  <si>
    <t>NavozPoMIN</t>
  </si>
  <si>
    <t>NavozPoMIN_fnol</t>
  </si>
  <si>
    <t>NavozPo_fnol</t>
  </si>
  <si>
    <t>NavozPo</t>
  </si>
  <si>
    <t>DrivejsiKonecPCT</t>
  </si>
  <si>
    <t>DrivejsiKonecPCT_fnol</t>
  </si>
  <si>
    <t>DrivejsiKonecMIN</t>
  </si>
  <si>
    <t>DrivejsiKonecMIN_fnol</t>
  </si>
  <si>
    <t>DrivejsiKonec</t>
  </si>
  <si>
    <t>DrivejsiKonec_fnol</t>
  </si>
  <si>
    <t>CelkemOperaci_fnol</t>
  </si>
  <si>
    <t>CelkemOperaci</t>
  </si>
  <si>
    <t>1.CH</t>
  </si>
  <si>
    <t>UtilizaceRezu_1.CH</t>
  </si>
  <si>
    <t>UtilizaceChirurgicka_1.CH</t>
  </si>
  <si>
    <t>UtilizaceCelkova_1.CH</t>
  </si>
  <si>
    <t>UtilizaceAnesteziologicka_1.CH</t>
  </si>
  <si>
    <t>PrvniRezPCT_1.CH</t>
  </si>
  <si>
    <t>PrvniRezMIN_1.CH</t>
  </si>
  <si>
    <t>PrvniRez_1.CH</t>
  </si>
  <si>
    <t>PozdniKonecPCT_1.CH</t>
  </si>
  <si>
    <t>PozdniKonecMIN_1.CH</t>
  </si>
  <si>
    <t>PozdniKonec_1.CH</t>
  </si>
  <si>
    <t>PocetOperacnichDnu_1.CH</t>
  </si>
  <si>
    <t>NavozPoPCT_1.CH</t>
  </si>
  <si>
    <t>NavozPoMIN_1.CH</t>
  </si>
  <si>
    <t>NavozPo_1.CH</t>
  </si>
  <si>
    <t>DrivejsiKonecPCT_1.CH</t>
  </si>
  <si>
    <t>DrivejsiKonecMIN_1.CH</t>
  </si>
  <si>
    <t>DrivejsiKonec_1.CH</t>
  </si>
  <si>
    <t>CelkemOperaci_1.CH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</si>
</sst>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charset val="238"/>
    </font>
    <font>
      <sz val="11"/>
      <color indexed="8"/>
      <name val="Calibri"/>
      <charset val="238"/>
    </font>
    <font>
      <sz val="8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sz val="9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5"/>
      <name val="Calibri"/>
      <family val="2"/>
      <charset val="238"/>
    </font>
    <font>
      <b/>
      <sz val="11"/>
      <color rgb="FF002060"/>
      <name val="Calibri"/>
      <family val="2"/>
      <charset val="238"/>
    </font>
    <font>
      <b/>
      <sz val="9"/>
      <color theme="4" tint="-0.249977111117893"/>
      <name val="Calibri"/>
      <family val="2"/>
      <charset val="238"/>
    </font>
    <font>
      <sz val="9"/>
      <color theme="8" tint="-0.249977111117893"/>
      <name val="Calibri"/>
      <family val="2"/>
      <charset val="238"/>
    </font>
    <font>
      <sz val="11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141">
    <xf numFmtId="0" fontId="0" fillId="0" borderId="0" xfId="0"/>
    <xf numFmtId="0" fontId="4" fillId="3" borderId="0" xfId="0" applyFont="1" applyFill="1"/>
    <xf numFmtId="0" fontId="4" fillId="2" borderId="0" xfId="0" applyFont="1" applyFill="1"/>
    <xf numFmtId="0" fontId="5" fillId="3" borderId="0" xfId="1" applyFont="1" applyFill="1" applyAlignment="1">
      <alignment horizontal="center"/>
    </xf>
    <xf numFmtId="0" fontId="5" fillId="2" borderId="0" xfId="1" applyFont="1" applyFill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5" fillId="2" borderId="5" xfId="1" applyFont="1" applyFill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5" fillId="2" borderId="9" xfId="1" applyFont="1" applyFill="1" applyBorder="1" applyAlignment="1">
      <alignment horizontal="center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5" fillId="3" borderId="13" xfId="1" applyFont="1" applyFill="1" applyBorder="1" applyAlignment="1">
      <alignment horizontal="center"/>
    </xf>
    <xf numFmtId="0" fontId="5" fillId="2" borderId="13" xfId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2" fontId="4" fillId="3" borderId="0" xfId="0" applyNumberFormat="1" applyFont="1" applyFill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5" fillId="3" borderId="15" xfId="1" applyFont="1" applyFill="1" applyBorder="1" applyAlignment="1">
      <alignment horizontal="center"/>
    </xf>
    <xf numFmtId="2" fontId="5" fillId="3" borderId="3" xfId="1" applyNumberFormat="1" applyFont="1" applyFill="1" applyBorder="1" applyAlignment="1">
      <alignment horizontal="center"/>
    </xf>
    <xf numFmtId="2" fontId="5" fillId="3" borderId="4" xfId="1" applyNumberFormat="1" applyFont="1" applyFill="1" applyBorder="1" applyAlignment="1">
      <alignment horizontal="center"/>
    </xf>
    <xf numFmtId="2" fontId="5" fillId="2" borderId="8" xfId="1" applyNumberFormat="1" applyFont="1" applyFill="1" applyBorder="1" applyAlignment="1">
      <alignment horizontal="center"/>
    </xf>
    <xf numFmtId="2" fontId="5" fillId="2" borderId="9" xfId="1" applyNumberFormat="1" applyFont="1" applyFill="1" applyBorder="1" applyAlignment="1">
      <alignment horizontal="center"/>
    </xf>
    <xf numFmtId="0" fontId="5" fillId="3" borderId="3" xfId="1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2" fontId="5" fillId="3" borderId="2" xfId="1" applyNumberFormat="1" applyFont="1" applyFill="1" applyBorder="1" applyAlignment="1">
      <alignment horizontal="center"/>
    </xf>
    <xf numFmtId="2" fontId="5" fillId="2" borderId="7" xfId="1" applyNumberFormat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6" borderId="0" xfId="0" applyNumberFormat="1" applyFont="1" applyFill="1" applyAlignment="1">
      <alignment horizontal="center"/>
    </xf>
    <xf numFmtId="0" fontId="4" fillId="6" borderId="5" xfId="0" applyFont="1" applyFill="1" applyBorder="1" applyAlignment="1">
      <alignment horizontal="center"/>
    </xf>
    <xf numFmtId="2" fontId="4" fillId="6" borderId="6" xfId="0" applyNumberFormat="1" applyFont="1" applyFill="1" applyBorder="1" applyAlignment="1">
      <alignment horizontal="center"/>
    </xf>
    <xf numFmtId="0" fontId="4" fillId="7" borderId="7" xfId="0" applyFont="1" applyFill="1" applyBorder="1" applyAlignment="1">
      <alignment horizontal="center"/>
    </xf>
    <xf numFmtId="2" fontId="4" fillId="7" borderId="8" xfId="0" applyNumberFormat="1" applyFont="1" applyFill="1" applyBorder="1" applyAlignment="1">
      <alignment horizontal="center"/>
    </xf>
    <xf numFmtId="2" fontId="4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horizontal="center"/>
    </xf>
    <xf numFmtId="0" fontId="4" fillId="7" borderId="14" xfId="0" applyFont="1" applyFill="1" applyBorder="1" applyAlignment="1">
      <alignment horizontal="center"/>
    </xf>
    <xf numFmtId="2" fontId="4" fillId="6" borderId="5" xfId="0" applyNumberFormat="1" applyFont="1" applyFill="1" applyBorder="1" applyAlignment="1">
      <alignment horizontal="center"/>
    </xf>
    <xf numFmtId="2" fontId="4" fillId="7" borderId="7" xfId="0" applyNumberFormat="1" applyFont="1" applyFill="1" applyBorder="1" applyAlignment="1">
      <alignment horizontal="center"/>
    </xf>
    <xf numFmtId="2" fontId="6" fillId="4" borderId="0" xfId="0" applyNumberFormat="1" applyFont="1" applyFill="1" applyAlignment="1">
      <alignment horizontal="center"/>
    </xf>
    <xf numFmtId="0" fontId="6" fillId="4" borderId="5" xfId="0" applyFont="1" applyFill="1" applyBorder="1" applyAlignment="1">
      <alignment horizontal="center"/>
    </xf>
    <xf numFmtId="2" fontId="6" fillId="4" borderId="6" xfId="0" applyNumberFormat="1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2" fontId="6" fillId="5" borderId="8" xfId="0" applyNumberFormat="1" applyFont="1" applyFill="1" applyBorder="1" applyAlignment="1">
      <alignment horizontal="center"/>
    </xf>
    <xf numFmtId="2" fontId="6" fillId="5" borderId="9" xfId="0" applyNumberFormat="1" applyFont="1" applyFill="1" applyBorder="1" applyAlignment="1">
      <alignment horizontal="center"/>
    </xf>
    <xf numFmtId="0" fontId="6" fillId="4" borderId="13" xfId="0" applyFont="1" applyFill="1" applyBorder="1" applyAlignment="1">
      <alignment horizontal="center"/>
    </xf>
    <xf numFmtId="0" fontId="6" fillId="5" borderId="14" xfId="0" applyFont="1" applyFill="1" applyBorder="1" applyAlignment="1">
      <alignment horizontal="center"/>
    </xf>
    <xf numFmtId="2" fontId="6" fillId="4" borderId="5" xfId="0" applyNumberFormat="1" applyFont="1" applyFill="1" applyBorder="1" applyAlignment="1">
      <alignment horizontal="center"/>
    </xf>
    <xf numFmtId="2" fontId="6" fillId="5" borderId="7" xfId="0" applyNumberFormat="1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13" xfId="0" applyFont="1" applyFill="1" applyBorder="1" applyAlignment="1">
      <alignment horizontal="center"/>
    </xf>
    <xf numFmtId="2" fontId="4" fillId="8" borderId="0" xfId="0" applyNumberFormat="1" applyFont="1" applyFill="1" applyAlignment="1">
      <alignment horizontal="center"/>
    </xf>
    <xf numFmtId="2" fontId="4" fillId="8" borderId="5" xfId="0" applyNumberFormat="1" applyFont="1" applyFill="1" applyBorder="1" applyAlignment="1">
      <alignment horizontal="center"/>
    </xf>
    <xf numFmtId="2" fontId="4" fillId="8" borderId="6" xfId="0" applyNumberFormat="1" applyFont="1" applyFill="1" applyBorder="1" applyAlignment="1">
      <alignment horizontal="center"/>
    </xf>
    <xf numFmtId="0" fontId="4" fillId="9" borderId="7" xfId="0" applyFont="1" applyFill="1" applyBorder="1" applyAlignment="1">
      <alignment horizontal="center"/>
    </xf>
    <xf numFmtId="0" fontId="4" fillId="9" borderId="14" xfId="0" applyFont="1" applyFill="1" applyBorder="1" applyAlignment="1">
      <alignment horizontal="center"/>
    </xf>
    <xf numFmtId="2" fontId="4" fillId="9" borderId="8" xfId="0" applyNumberFormat="1" applyFont="1" applyFill="1" applyBorder="1" applyAlignment="1">
      <alignment horizontal="center"/>
    </xf>
    <xf numFmtId="2" fontId="4" fillId="9" borderId="7" xfId="0" applyNumberFormat="1" applyFont="1" applyFill="1" applyBorder="1" applyAlignment="1">
      <alignment horizontal="center"/>
    </xf>
    <xf numFmtId="2" fontId="4" fillId="9" borderId="9" xfId="0" applyNumberFormat="1" applyFont="1" applyFill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2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4" fillId="10" borderId="5" xfId="0" applyFont="1" applyFill="1" applyBorder="1" applyAlignment="1">
      <alignment horizontal="center"/>
    </xf>
    <xf numFmtId="0" fontId="4" fillId="10" borderId="13" xfId="0" applyFont="1" applyFill="1" applyBorder="1" applyAlignment="1">
      <alignment horizontal="center"/>
    </xf>
    <xf numFmtId="2" fontId="4" fillId="10" borderId="0" xfId="0" applyNumberFormat="1" applyFont="1" applyFill="1" applyAlignment="1">
      <alignment horizontal="center"/>
    </xf>
    <xf numFmtId="2" fontId="4" fillId="10" borderId="5" xfId="0" applyNumberFormat="1" applyFont="1" applyFill="1" applyBorder="1" applyAlignment="1">
      <alignment horizontal="center"/>
    </xf>
    <xf numFmtId="2" fontId="4" fillId="10" borderId="6" xfId="0" applyNumberFormat="1" applyFont="1" applyFill="1" applyBorder="1" applyAlignment="1">
      <alignment horizontal="center"/>
    </xf>
    <xf numFmtId="0" fontId="4" fillId="11" borderId="7" xfId="0" applyFont="1" applyFill="1" applyBorder="1" applyAlignment="1">
      <alignment horizontal="center"/>
    </xf>
    <xf numFmtId="0" fontId="4" fillId="11" borderId="14" xfId="0" applyFont="1" applyFill="1" applyBorder="1" applyAlignment="1">
      <alignment horizontal="center"/>
    </xf>
    <xf numFmtId="2" fontId="4" fillId="11" borderId="8" xfId="0" applyNumberFormat="1" applyFont="1" applyFill="1" applyBorder="1" applyAlignment="1">
      <alignment horizontal="center"/>
    </xf>
    <xf numFmtId="2" fontId="4" fillId="11" borderId="7" xfId="0" applyNumberFormat="1" applyFont="1" applyFill="1" applyBorder="1" applyAlignment="1">
      <alignment horizontal="center"/>
    </xf>
    <xf numFmtId="2" fontId="4" fillId="11" borderId="9" xfId="0" applyNumberFormat="1" applyFont="1" applyFill="1" applyBorder="1" applyAlignment="1">
      <alignment horizontal="center"/>
    </xf>
    <xf numFmtId="2" fontId="5" fillId="3" borderId="0" xfId="1" applyNumberFormat="1" applyFont="1" applyFill="1" applyAlignment="1">
      <alignment horizontal="center"/>
    </xf>
    <xf numFmtId="2" fontId="5" fillId="3" borderId="5" xfId="1" applyNumberFormat="1" applyFont="1" applyFill="1" applyBorder="1" applyAlignment="1">
      <alignment horizontal="center"/>
    </xf>
    <xf numFmtId="2" fontId="5" fillId="3" borderId="6" xfId="1" applyNumberFormat="1" applyFont="1" applyFill="1" applyBorder="1" applyAlignment="1">
      <alignment horizontal="center"/>
    </xf>
    <xf numFmtId="0" fontId="5" fillId="12" borderId="7" xfId="1" applyFont="1" applyFill="1" applyBorder="1" applyAlignment="1">
      <alignment horizontal="center"/>
    </xf>
    <xf numFmtId="0" fontId="5" fillId="12" borderId="14" xfId="1" applyFont="1" applyFill="1" applyBorder="1" applyAlignment="1">
      <alignment horizontal="center"/>
    </xf>
    <xf numFmtId="2" fontId="5" fillId="12" borderId="8" xfId="1" applyNumberFormat="1" applyFont="1" applyFill="1" applyBorder="1" applyAlignment="1">
      <alignment horizontal="center"/>
    </xf>
    <xf numFmtId="2" fontId="5" fillId="12" borderId="7" xfId="1" applyNumberFormat="1" applyFont="1" applyFill="1" applyBorder="1" applyAlignment="1">
      <alignment horizontal="center"/>
    </xf>
    <xf numFmtId="2" fontId="5" fillId="12" borderId="9" xfId="1" applyNumberFormat="1" applyFont="1" applyFill="1" applyBorder="1" applyAlignment="1">
      <alignment horizontal="center"/>
    </xf>
    <xf numFmtId="0" fontId="8" fillId="0" borderId="15" xfId="2" applyFont="1" applyBorder="1" applyAlignment="1">
      <alignment horizontal="center"/>
    </xf>
    <xf numFmtId="0" fontId="11" fillId="0" borderId="3" xfId="2" applyFont="1" applyBorder="1" applyAlignment="1">
      <alignment horizontal="center"/>
    </xf>
    <xf numFmtId="0" fontId="12" fillId="0" borderId="3" xfId="2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4" fillId="0" borderId="3" xfId="2" applyFont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15" fillId="13" borderId="2" xfId="2" applyFont="1" applyFill="1" applyBorder="1" applyAlignment="1">
      <alignment horizontal="center"/>
    </xf>
    <xf numFmtId="2" fontId="5" fillId="3" borderId="2" xfId="2" applyNumberFormat="1" applyFont="1" applyFill="1" applyBorder="1" applyAlignment="1">
      <alignment horizontal="center"/>
    </xf>
    <xf numFmtId="2" fontId="5" fillId="3" borderId="3" xfId="2" applyNumberFormat="1" applyFont="1" applyFill="1" applyBorder="1" applyAlignment="1">
      <alignment horizontal="center"/>
    </xf>
    <xf numFmtId="2" fontId="5" fillId="14" borderId="3" xfId="2" applyNumberFormat="1" applyFont="1" applyFill="1" applyBorder="1" applyAlignment="1">
      <alignment horizontal="center"/>
    </xf>
    <xf numFmtId="2" fontId="5" fillId="12" borderId="2" xfId="2" applyNumberFormat="1" applyFont="1" applyFill="1" applyBorder="1" applyAlignment="1">
      <alignment horizontal="center"/>
    </xf>
    <xf numFmtId="2" fontId="5" fillId="15" borderId="3" xfId="2" applyNumberFormat="1" applyFont="1" applyFill="1" applyBorder="1" applyAlignment="1">
      <alignment horizontal="center"/>
    </xf>
    <xf numFmtId="2" fontId="5" fillId="15" borderId="4" xfId="2" applyNumberFormat="1" applyFont="1" applyFill="1" applyBorder="1" applyAlignment="1">
      <alignment horizontal="center"/>
    </xf>
    <xf numFmtId="0" fontId="15" fillId="13" borderId="5" xfId="2" applyFont="1" applyFill="1" applyBorder="1" applyAlignment="1">
      <alignment horizontal="center"/>
    </xf>
    <xf numFmtId="0" fontId="5" fillId="3" borderId="5" xfId="2" applyFont="1" applyFill="1" applyBorder="1" applyAlignment="1">
      <alignment horizontal="center"/>
    </xf>
    <xf numFmtId="0" fontId="5" fillId="3" borderId="0" xfId="2" applyFont="1" applyFill="1" applyAlignment="1">
      <alignment horizontal="center"/>
    </xf>
    <xf numFmtId="2" fontId="5" fillId="14" borderId="0" xfId="2" applyNumberFormat="1" applyFont="1" applyFill="1" applyAlignment="1">
      <alignment horizontal="center"/>
    </xf>
    <xf numFmtId="2" fontId="5" fillId="12" borderId="5" xfId="2" applyNumberFormat="1" applyFont="1" applyFill="1" applyBorder="1" applyAlignment="1">
      <alignment horizontal="center"/>
    </xf>
    <xf numFmtId="2" fontId="5" fillId="15" borderId="0" xfId="2" applyNumberFormat="1" applyFont="1" applyFill="1" applyAlignment="1">
      <alignment horizontal="center"/>
    </xf>
    <xf numFmtId="2" fontId="5" fillId="15" borderId="6" xfId="2" applyNumberFormat="1" applyFont="1" applyFill="1" applyBorder="1" applyAlignment="1">
      <alignment horizontal="center"/>
    </xf>
    <xf numFmtId="0" fontId="15" fillId="13" borderId="7" xfId="2" applyFont="1" applyFill="1" applyBorder="1" applyAlignment="1">
      <alignment horizontal="center" shrinkToFit="1"/>
    </xf>
    <xf numFmtId="0" fontId="15" fillId="13" borderId="7" xfId="2" applyFont="1" applyFill="1" applyBorder="1" applyAlignment="1">
      <alignment horizontal="center"/>
    </xf>
    <xf numFmtId="0" fontId="5" fillId="3" borderId="7" xfId="2" applyFont="1" applyFill="1" applyBorder="1" applyAlignment="1">
      <alignment horizontal="center"/>
    </xf>
    <xf numFmtId="0" fontId="5" fillId="3" borderId="8" xfId="2" applyFont="1" applyFill="1" applyBorder="1" applyAlignment="1">
      <alignment horizontal="center"/>
    </xf>
    <xf numFmtId="2" fontId="5" fillId="14" borderId="8" xfId="2" applyNumberFormat="1" applyFont="1" applyFill="1" applyBorder="1" applyAlignment="1">
      <alignment horizontal="center"/>
    </xf>
    <xf numFmtId="2" fontId="5" fillId="12" borderId="7" xfId="2" applyNumberFormat="1" applyFont="1" applyFill="1" applyBorder="1" applyAlignment="1">
      <alignment horizontal="center"/>
    </xf>
    <xf numFmtId="2" fontId="5" fillId="15" borderId="8" xfId="2" applyNumberFormat="1" applyFont="1" applyFill="1" applyBorder="1" applyAlignment="1">
      <alignment horizontal="center"/>
    </xf>
    <xf numFmtId="2" fontId="5" fillId="15" borderId="9" xfId="2" applyNumberFormat="1" applyFont="1" applyFill="1" applyBorder="1" applyAlignment="1">
      <alignment horizontal="center"/>
    </xf>
    <xf numFmtId="0" fontId="5" fillId="2" borderId="14" xfId="2" applyFont="1" applyFill="1" applyBorder="1" applyAlignment="1">
      <alignment horizontal="center"/>
    </xf>
    <xf numFmtId="0" fontId="5" fillId="2" borderId="8" xfId="2" applyFont="1" applyFill="1" applyBorder="1" applyAlignment="1">
      <alignment horizontal="center"/>
    </xf>
    <xf numFmtId="0" fontId="5" fillId="2" borderId="7" xfId="2" applyFont="1" applyFill="1" applyBorder="1" applyAlignment="1">
      <alignment horizontal="center"/>
    </xf>
    <xf numFmtId="0" fontId="5" fillId="2" borderId="9" xfId="2" applyFont="1" applyFill="1" applyBorder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11" fillId="0" borderId="11" xfId="2" applyFont="1" applyBorder="1" applyAlignment="1">
      <alignment horizontal="center"/>
    </xf>
    <xf numFmtId="0" fontId="12" fillId="0" borderId="11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0" fontId="14" fillId="0" borderId="12" xfId="2" applyFont="1" applyBorder="1" applyAlignment="1">
      <alignment horizontal="center"/>
    </xf>
    <xf numFmtId="0" fontId="15" fillId="13" borderId="14" xfId="2" applyFont="1" applyFill="1" applyBorder="1" applyAlignment="1">
      <alignment horizontal="center"/>
    </xf>
    <xf numFmtId="2" fontId="5" fillId="3" borderId="8" xfId="2" applyNumberFormat="1" applyFont="1" applyFill="1" applyBorder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6" fillId="0" borderId="0" xfId="0" applyFont="1" applyAlignment="1">
      <alignment horizontal="left" wrapText="1"/>
    </xf>
  </cellXfs>
  <cellStyles count="3">
    <cellStyle name="Normální" xfId="0" builtinId="0"/>
    <cellStyle name="Normální_List1" xfId="1" xr:uid="{53889BD3-528E-437E-B527-12136F9A0823}"/>
    <cellStyle name="Normální_List1 2" xfId="2" xr:uid="{EA626A39-A1F8-46C0-9CFD-BFDDD2349ABC}"/>
  </cellStyles>
  <dxfs count="0"/>
  <tableStyles count="0" defaultTableStyle="TableStyleMedium2" defaultPivotStyle="PivotStyleLight16"/>
  <colors>
    <mruColors>
      <color rgb="FF9966FF"/>
      <color rgb="FF9999FF"/>
      <color rgb="FF99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Utilizace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strana1!$A$3:$B$3</c:f>
              <c:strCache>
                <c:ptCount val="2"/>
                <c:pt idx="0">
                  <c:v>UtilizaceRezu</c:v>
                </c:pt>
                <c:pt idx="1">
                  <c:v>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C1D3-439A-85E3-5625AEE740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D3-439A-85E3-5625AEE740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1D3-439A-85E3-5625AEE740B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C1D3-439A-85E3-5625AEE740B6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1D3-439A-85E3-5625AEE740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1D3-439A-85E3-5625AEE740B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C1D3-439A-85E3-5625AEE740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1D3-439A-85E3-5625AEE740B6}"/>
              </c:ext>
            </c:extLst>
          </c:dPt>
          <c:cat>
            <c:strRef>
              <c:f>strana1!$C$2:$J$2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strana1!$C$3:$J$3</c:f>
              <c:numCache>
                <c:formatCode>0.00</c:formatCode>
                <c:ptCount val="8"/>
                <c:pt idx="0">
                  <c:v>43.1</c:v>
                </c:pt>
                <c:pt idx="1">
                  <c:v>41.78</c:v>
                </c:pt>
                <c:pt idx="2">
                  <c:v>44.9</c:v>
                </c:pt>
                <c:pt idx="3">
                  <c:v>43.6</c:v>
                </c:pt>
                <c:pt idx="4">
                  <c:v>42.92</c:v>
                </c:pt>
                <c:pt idx="5">
                  <c:v>42.36</c:v>
                </c:pt>
                <c:pt idx="6">
                  <c:v>42.73</c:v>
                </c:pt>
                <c:pt idx="7">
                  <c:v>42.5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0-427C-BC75-441ABB2EA9E0}"/>
            </c:ext>
          </c:extLst>
        </c:ser>
        <c:ser>
          <c:idx val="1"/>
          <c:order val="1"/>
          <c:tx>
            <c:strRef>
              <c:f>strana1!$A$4:$B$4</c:f>
              <c:strCache>
                <c:ptCount val="2"/>
                <c:pt idx="0">
                  <c:v>UtilizaceRezu</c:v>
                </c:pt>
                <c:pt idx="1">
                  <c:v>1.CH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1D3-439A-85E3-5625AEE740B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1D3-439A-85E3-5625AEE740B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1D3-439A-85E3-5625AEE740B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1D3-439A-85E3-5625AEE740B6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1D3-439A-85E3-5625AEE740B6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1D3-439A-85E3-5625AEE740B6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C1D3-439A-85E3-5625AEE740B6}"/>
              </c:ext>
            </c:extLst>
          </c:dPt>
          <c:cat>
            <c:strRef>
              <c:f>strana1!$C$2:$J$2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strana1!$C$4:$J$4</c:f>
              <c:numCache>
                <c:formatCode>0.00</c:formatCode>
                <c:ptCount val="8"/>
                <c:pt idx="0">
                  <c:v>45.07</c:v>
                </c:pt>
                <c:pt idx="1">
                  <c:v>47.47</c:v>
                </c:pt>
                <c:pt idx="2">
                  <c:v>47.42</c:v>
                </c:pt>
                <c:pt idx="3">
                  <c:v>47.62</c:v>
                </c:pt>
                <c:pt idx="4">
                  <c:v>44.15</c:v>
                </c:pt>
                <c:pt idx="5">
                  <c:v>47.71</c:v>
                </c:pt>
                <c:pt idx="6">
                  <c:v>44.78</c:v>
                </c:pt>
                <c:pt idx="7">
                  <c:v>47.35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60-427C-BC75-441ABB2EA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1654048"/>
        <c:axId val="571655688"/>
      </c:barChart>
      <c:catAx>
        <c:axId val="571654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5688"/>
        <c:crosses val="autoZero"/>
        <c:auto val="1"/>
        <c:lblAlgn val="ctr"/>
        <c:lblOffset val="100"/>
        <c:noMultiLvlLbl val="0"/>
      </c:catAx>
      <c:valAx>
        <c:axId val="57165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7165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dřívější konec před 15:15 (v</a:t>
            </a:r>
            <a:r>
              <a:rPr lang="cs-CZ" baseline="0"/>
              <a:t> minutách)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strana3!$A$3:$B$3</c:f>
              <c:strCache>
                <c:ptCount val="2"/>
                <c:pt idx="0">
                  <c:v>minuty</c:v>
                </c:pt>
                <c:pt idx="1">
                  <c:v>URO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D9-4B28-8197-4714CE7123F1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D9-4B28-8197-4714CE7123F1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D9-4B28-8197-4714CE7123F1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D9-4B28-8197-4714CE7123F1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D9-4B28-8197-4714CE7123F1}"/>
              </c:ext>
            </c:extLst>
          </c:dPt>
          <c:cat>
            <c:strRef>
              <c:f>strana3!$C$2:$J$2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strana3!$C$3:$J$3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ED9-4B28-8197-4714CE7123F1}"/>
            </c:ext>
          </c:extLst>
        </c:ser>
        <c:ser>
          <c:idx val="1"/>
          <c:order val="1"/>
          <c:tx>
            <c:strRef>
              <c:f>[1]strana2!$A$23:$B$23</c:f>
              <c:strCache>
                <c:ptCount val="1"/>
                <c:pt idx="0">
                  <c:v>minuty FNOL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[1]strana2!$C$21:$J$21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[1]strana2!$C$23:$J$23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ED9-4B28-8197-4714CE7123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41520"/>
        <c:axId val="453642176"/>
      </c:barChart>
      <c:catAx>
        <c:axId val="4536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2176"/>
        <c:crosses val="autoZero"/>
        <c:auto val="1"/>
        <c:lblAlgn val="ctr"/>
        <c:lblOffset val="100"/>
        <c:noMultiLvlLbl val="0"/>
      </c:catAx>
      <c:valAx>
        <c:axId val="4536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Pozdní konec po 15:15 (v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strana3!$A$82:$B$82</c:f>
              <c:strCache>
                <c:ptCount val="2"/>
                <c:pt idx="0">
                  <c:v>#NENÍ_K_DISPOZICI</c:v>
                </c:pt>
                <c:pt idx="1">
                  <c:v>URO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F5-42D1-A5C7-E4C96EC618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F5-42D1-A5C7-E4C96EC6180D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F5-42D1-A5C7-E4C96EC6180D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F5-42D1-A5C7-E4C96EC6180D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F5-42D1-A5C7-E4C96EC6180D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F5-42D1-A5C7-E4C96EC6180D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F5-42D1-A5C7-E4C96EC6180D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CCF5-42D1-A5C7-E4C96EC6180D}"/>
              </c:ext>
            </c:extLst>
          </c:dPt>
          <c:cat>
            <c:strRef>
              <c:f>strana3!$C$81:$J$81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strana3!$C$82:$J$82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CCF5-42D1-A5C7-E4C96EC618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pozdní konec po 15:15 (v minutách)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strana3!$A$55:$B$55</c:f>
              <c:strCache>
                <c:ptCount val="2"/>
                <c:pt idx="0">
                  <c:v>minuty</c:v>
                </c:pt>
                <c:pt idx="1">
                  <c:v>URO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E37-4CEC-8688-8F93C660D0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E37-4CEC-8688-8F93C660D0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E37-4CEC-8688-8F93C660D0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E37-4CEC-8688-8F93C660D01F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E37-4CEC-8688-8F93C660D01F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E37-4CEC-8688-8F93C660D01F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E37-4CEC-8688-8F93C660D01F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3E37-4CEC-8688-8F93C660D01F}"/>
              </c:ext>
            </c:extLst>
          </c:dPt>
          <c:cat>
            <c:strRef>
              <c:f>strana3!$C$54:$J$54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strana3!$C$55:$J$55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E37-4CEC-8688-8F93C660D0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Anesteziologická utilizace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strana1!$A$28:$B$28</c:f>
              <c:strCache>
                <c:ptCount val="2"/>
                <c:pt idx="0">
                  <c:v>UtilizaceAnesteziologicka</c:v>
                </c:pt>
                <c:pt idx="1">
                  <c:v>fnol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strana1!$C$27:$J$27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strana1!$C$28:$J$28</c:f>
              <c:numCache>
                <c:formatCode>0.00</c:formatCode>
                <c:ptCount val="8"/>
                <c:pt idx="0">
                  <c:v>15.72</c:v>
                </c:pt>
                <c:pt idx="1">
                  <c:v>14.97</c:v>
                </c:pt>
                <c:pt idx="2">
                  <c:v>17.100000000000001</c:v>
                </c:pt>
                <c:pt idx="3">
                  <c:v>16.03</c:v>
                </c:pt>
                <c:pt idx="4">
                  <c:v>15.57</c:v>
                </c:pt>
                <c:pt idx="5">
                  <c:v>18.16</c:v>
                </c:pt>
                <c:pt idx="6">
                  <c:v>17.46</c:v>
                </c:pt>
                <c:pt idx="7">
                  <c:v>16.47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46-4CCD-BF51-0F3C8E46D153}"/>
            </c:ext>
          </c:extLst>
        </c:ser>
        <c:ser>
          <c:idx val="1"/>
          <c:order val="1"/>
          <c:tx>
            <c:strRef>
              <c:f>strana1!$A$29:$B$29</c:f>
              <c:strCache>
                <c:ptCount val="2"/>
                <c:pt idx="0">
                  <c:v>UtilizaceAnesteziologicka</c:v>
                </c:pt>
                <c:pt idx="1">
                  <c:v>1.CH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strana1!$C$27:$J$27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strana1!$C$29:$J$29</c:f>
              <c:numCache>
                <c:formatCode>0.00</c:formatCode>
                <c:ptCount val="8"/>
                <c:pt idx="0">
                  <c:v>18.57</c:v>
                </c:pt>
                <c:pt idx="1">
                  <c:v>18.98</c:v>
                </c:pt>
                <c:pt idx="2">
                  <c:v>20.64</c:v>
                </c:pt>
                <c:pt idx="3">
                  <c:v>21.11</c:v>
                </c:pt>
                <c:pt idx="4">
                  <c:v>17</c:v>
                </c:pt>
                <c:pt idx="5">
                  <c:v>20.7</c:v>
                </c:pt>
                <c:pt idx="6">
                  <c:v>22.31</c:v>
                </c:pt>
                <c:pt idx="7">
                  <c:v>27.52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46-4CCD-BF51-0F3C8E46D1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Chirurgická utilizace (v </a:t>
            </a:r>
            <a:r>
              <a:rPr lang="en-US"/>
              <a:t>%</a:t>
            </a:r>
            <a:r>
              <a:rPr lang="cs-CZ"/>
              <a:t>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strana1!$A$53:$B$53</c:f>
              <c:strCache>
                <c:ptCount val="2"/>
                <c:pt idx="0">
                  <c:v>UtilizaceChirurgicka</c:v>
                </c:pt>
                <c:pt idx="1">
                  <c:v>fnol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strana1!$C$52:$J$52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strana1!$C$53:$J$53</c:f>
              <c:numCache>
                <c:formatCode>0.00</c:formatCode>
                <c:ptCount val="8"/>
                <c:pt idx="0">
                  <c:v>50.14</c:v>
                </c:pt>
                <c:pt idx="1">
                  <c:v>48.51</c:v>
                </c:pt>
                <c:pt idx="2">
                  <c:v>51.67</c:v>
                </c:pt>
                <c:pt idx="3">
                  <c:v>50.17</c:v>
                </c:pt>
                <c:pt idx="4">
                  <c:v>49.85</c:v>
                </c:pt>
                <c:pt idx="5">
                  <c:v>50.3</c:v>
                </c:pt>
                <c:pt idx="6">
                  <c:v>49.96</c:v>
                </c:pt>
                <c:pt idx="7">
                  <c:v>48.38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7A-4461-B39C-FC545DF66D6A}"/>
            </c:ext>
          </c:extLst>
        </c:ser>
        <c:ser>
          <c:idx val="1"/>
          <c:order val="1"/>
          <c:tx>
            <c:strRef>
              <c:f>strana1!$A$54:$B$54</c:f>
              <c:strCache>
                <c:ptCount val="2"/>
                <c:pt idx="0">
                  <c:v>UtilizaceChirurgicka</c:v>
                </c:pt>
                <c:pt idx="1">
                  <c:v>1.CH</c:v>
                </c:pt>
              </c:strCache>
            </c:strRef>
          </c:tx>
          <c:spPr>
            <a:solidFill>
              <a:srgbClr val="9966FF"/>
            </a:solidFill>
            <a:ln>
              <a:noFill/>
            </a:ln>
            <a:effectLst/>
          </c:spPr>
          <c:invertIfNegative val="0"/>
          <c:cat>
            <c:strRef>
              <c:f>strana1!$C$52:$J$52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strana1!$C$54:$J$54</c:f>
              <c:numCache>
                <c:formatCode>0.00</c:formatCode>
                <c:ptCount val="8"/>
                <c:pt idx="0">
                  <c:v>52.25</c:v>
                </c:pt>
                <c:pt idx="1">
                  <c:v>54.54</c:v>
                </c:pt>
                <c:pt idx="2">
                  <c:v>54.32</c:v>
                </c:pt>
                <c:pt idx="3">
                  <c:v>55.19</c:v>
                </c:pt>
                <c:pt idx="4">
                  <c:v>50.63</c:v>
                </c:pt>
                <c:pt idx="5">
                  <c:v>55.88</c:v>
                </c:pt>
                <c:pt idx="6">
                  <c:v>52.88</c:v>
                </c:pt>
                <c:pt idx="7">
                  <c:v>54.96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7A-4461-B39C-FC545DF66D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 sz="1400" b="0" i="0" u="none" strike="noStrike" baseline="0">
                <a:effectLst/>
              </a:rPr>
              <a:t>Celková utilizace (</a:t>
            </a:r>
            <a:r>
              <a:rPr lang="en-US" sz="1400" b="0" i="0" u="none" strike="noStrike" baseline="0">
                <a:effectLst/>
              </a:rPr>
              <a:t>v</a:t>
            </a:r>
            <a:r>
              <a:rPr lang="cs-CZ" sz="1400" b="0" i="0" u="none" strike="noStrike" baseline="0">
                <a:effectLst/>
              </a:rPr>
              <a:t> </a:t>
            </a:r>
            <a:r>
              <a:rPr lang="en-US" sz="1400" b="0" i="0" u="none" strike="noStrike" baseline="0">
                <a:effectLst/>
              </a:rPr>
              <a:t>%)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strana1!$A$79:$B$79</c:f>
              <c:strCache>
                <c:ptCount val="2"/>
                <c:pt idx="0">
                  <c:v>UtilizaceCelkova</c:v>
                </c:pt>
                <c:pt idx="1">
                  <c:v>fnol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strana1!$C$78:$J$78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strana1!$C$79:$J$79</c:f>
              <c:numCache>
                <c:formatCode>0.00</c:formatCode>
                <c:ptCount val="8"/>
                <c:pt idx="0">
                  <c:v>68.25</c:v>
                </c:pt>
                <c:pt idx="1">
                  <c:v>66.069999999999993</c:v>
                </c:pt>
                <c:pt idx="2">
                  <c:v>70.040000000000006</c:v>
                </c:pt>
                <c:pt idx="3">
                  <c:v>67.09</c:v>
                </c:pt>
                <c:pt idx="4">
                  <c:v>68.41</c:v>
                </c:pt>
                <c:pt idx="5">
                  <c:v>68.86</c:v>
                </c:pt>
                <c:pt idx="6">
                  <c:v>68.03</c:v>
                </c:pt>
                <c:pt idx="7">
                  <c:v>66.03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F8-46FD-A4DE-C1C13B30F51E}"/>
            </c:ext>
          </c:extLst>
        </c:ser>
        <c:ser>
          <c:idx val="1"/>
          <c:order val="1"/>
          <c:tx>
            <c:strRef>
              <c:f>strana1!$A$80:$B$80</c:f>
              <c:strCache>
                <c:ptCount val="2"/>
                <c:pt idx="0">
                  <c:v>UtilizaceCelkova</c:v>
                </c:pt>
                <c:pt idx="1">
                  <c:v>1.CH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strana1!$C$78:$J$78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strana1!$C$80:$J$80</c:f>
              <c:numCache>
                <c:formatCode>0.00</c:formatCode>
                <c:ptCount val="8"/>
                <c:pt idx="0">
                  <c:v>76.3</c:v>
                </c:pt>
                <c:pt idx="1">
                  <c:v>78.680000000000007</c:v>
                </c:pt>
                <c:pt idx="2">
                  <c:v>79.05</c:v>
                </c:pt>
                <c:pt idx="3">
                  <c:v>81.2</c:v>
                </c:pt>
                <c:pt idx="4">
                  <c:v>73.510000000000005</c:v>
                </c:pt>
                <c:pt idx="5">
                  <c:v>81.87</c:v>
                </c:pt>
                <c:pt idx="6">
                  <c:v>80.489999999999995</c:v>
                </c:pt>
                <c:pt idx="7">
                  <c:v>81.66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F8-46FD-A4DE-C1C13B30F5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9494896"/>
        <c:axId val="429495224"/>
      </c:barChart>
      <c:catAx>
        <c:axId val="429494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5224"/>
        <c:crosses val="autoZero"/>
        <c:auto val="1"/>
        <c:lblAlgn val="ctr"/>
        <c:lblOffset val="100"/>
        <c:noMultiLvlLbl val="0"/>
      </c:catAx>
      <c:valAx>
        <c:axId val="429495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29494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Pozdní</a:t>
            </a:r>
            <a:r>
              <a:rPr lang="cs-CZ" baseline="0"/>
              <a:t> návoz</a:t>
            </a:r>
            <a:r>
              <a:rPr lang="cs-CZ" sz="1400" b="0" i="0" u="none" strike="noStrike" baseline="0">
                <a:effectLst/>
              </a:rPr>
              <a:t> 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strana2!$A$37:$B$37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strana2!$C$36:$J$36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strana2!$C$37:$J$37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8-4C7A-94D3-4FD0B21106EA}"/>
            </c:ext>
          </c:extLst>
        </c:ser>
        <c:ser>
          <c:idx val="1"/>
          <c:order val="1"/>
          <c:tx>
            <c:strRef>
              <c:f>strana2!$A$38:$B$38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strana2!$C$36:$J$36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strana2!$C$38:$J$38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C8-4C7A-94D3-4FD0B21106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Dřívější konec (v </a:t>
            </a:r>
            <a:r>
              <a:rPr lang="en-US"/>
              <a:t>minut</a:t>
            </a:r>
            <a:r>
              <a:rPr lang="cs-CZ"/>
              <a:t>ách)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strana2!$A$83:$B$83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strana2!$C$82:$J$82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strana2!$C$83:$J$83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5-47AB-AF8E-ACF020741504}"/>
            </c:ext>
          </c:extLst>
        </c:ser>
        <c:ser>
          <c:idx val="1"/>
          <c:order val="1"/>
          <c:tx>
            <c:strRef>
              <c:f>strana2!$A$84:$B$84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strana2!$C$82:$J$82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strana2!$C$84:$J$84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15-47AB-AF8E-ACF020741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63571808"/>
        <c:axId val="463572136"/>
      </c:barChart>
      <c:catAx>
        <c:axId val="463571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2136"/>
        <c:crosses val="autoZero"/>
        <c:auto val="1"/>
        <c:lblAlgn val="ctr"/>
        <c:lblOffset val="100"/>
        <c:noMultiLvlLbl val="0"/>
      </c:catAx>
      <c:valAx>
        <c:axId val="46357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635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Dřívější</a:t>
            </a:r>
            <a:r>
              <a:rPr lang="cs-CZ" baseline="0"/>
              <a:t> konec (v </a:t>
            </a:r>
            <a:r>
              <a:rPr lang="en-US" baseline="0"/>
              <a:t>%</a:t>
            </a:r>
            <a:r>
              <a:rPr lang="cs-CZ" baseline="0"/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strana2!$A$109:$B$109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4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strana2!$C$108:$J$108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strana2!$C$109:$J$109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0-4DB9-8471-9447AB37B7E7}"/>
            </c:ext>
          </c:extLst>
        </c:ser>
        <c:ser>
          <c:idx val="1"/>
          <c:order val="1"/>
          <c:tx>
            <c:strRef>
              <c:f>strana2!$A$110:$B$110</c:f>
              <c:strCache>
                <c:ptCount val="2"/>
                <c:pt idx="0">
                  <c:v>#NENÍ_K_DISPOZICI</c:v>
                </c:pt>
                <c:pt idx="1">
                  <c:v>#NENÍ_K_DISPOZICI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strana2!$C$108:$J$108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strana2!$C$110:$J$110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10-4DB9-8471-9447AB37B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2301632"/>
        <c:axId val="472300320"/>
      </c:barChart>
      <c:catAx>
        <c:axId val="472301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2300320"/>
        <c:crosses val="autoZero"/>
        <c:auto val="1"/>
        <c:lblAlgn val="ctr"/>
        <c:lblOffset val="100"/>
        <c:noMultiLvlLbl val="0"/>
      </c:catAx>
      <c:valAx>
        <c:axId val="472300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72301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Pozdní návoz (v</a:t>
            </a:r>
            <a:r>
              <a:rPr lang="cs-CZ" baseline="0"/>
              <a:t> minutách)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strana2!$A$7:$B$7</c:f>
              <c:strCache>
                <c:ptCount val="2"/>
                <c:pt idx="0">
                  <c:v>minuty</c:v>
                </c:pt>
                <c:pt idx="1">
                  <c:v>1.CH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strana2!$C$6:$J$6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strana2!$C$7:$J$7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E8-4608-88A7-8462D9D12ED8}"/>
            </c:ext>
          </c:extLst>
        </c:ser>
        <c:ser>
          <c:idx val="1"/>
          <c:order val="1"/>
          <c:tx>
            <c:strRef>
              <c:f>strana2!$A$8:$B$8</c:f>
              <c:strCache>
                <c:ptCount val="2"/>
                <c:pt idx="0">
                  <c:v>minuty</c:v>
                </c:pt>
                <c:pt idx="1">
                  <c:v>FNOL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strana2!$C$6:$J$6</c:f>
              <c:strCache>
                <c:ptCount val="8"/>
                <c:pt idx="0">
                  <c:v>Rok 2020</c:v>
                </c:pt>
                <c:pt idx="1">
                  <c:v>Rok 2021</c:v>
                </c:pt>
                <c:pt idx="2">
                  <c:v>Rok 2022</c:v>
                </c:pt>
                <c:pt idx="3">
                  <c:v>Rok 2023</c:v>
                </c:pt>
                <c:pt idx="4">
                  <c:v>prosinec 2024</c:v>
                </c:pt>
                <c:pt idx="5">
                  <c:v>listopad 2024</c:v>
                </c:pt>
                <c:pt idx="6">
                  <c:v>říjen 2024</c:v>
                </c:pt>
                <c:pt idx="7">
                  <c:v>září 2024</c:v>
                </c:pt>
              </c:strCache>
            </c:strRef>
          </c:cat>
          <c:val>
            <c:numRef>
              <c:f>strana2!$C$8:$J$8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E8-4608-88A7-8462D9D12E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3641520"/>
        <c:axId val="453642176"/>
      </c:barChart>
      <c:catAx>
        <c:axId val="453641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2176"/>
        <c:crosses val="autoZero"/>
        <c:auto val="1"/>
        <c:lblAlgn val="ctr"/>
        <c:lblOffset val="100"/>
        <c:noMultiLvlLbl val="0"/>
      </c:catAx>
      <c:valAx>
        <c:axId val="4536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53641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 orientation="portrait"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Dřívější konec před 15:15</a:t>
            </a:r>
            <a:r>
              <a:rPr lang="cs-CZ" baseline="0"/>
              <a:t> </a:t>
            </a:r>
            <a:r>
              <a:rPr lang="cs-CZ" sz="1400" b="0" i="0" u="none" strike="noStrike" baseline="0">
                <a:effectLst/>
              </a:rPr>
              <a:t>(v </a:t>
            </a:r>
            <a:r>
              <a:rPr lang="en-US" sz="1400" b="0" i="0" u="none" strike="noStrike" baseline="0">
                <a:effectLst/>
              </a:rPr>
              <a:t>%</a:t>
            </a:r>
            <a:r>
              <a:rPr lang="cs-CZ" sz="1400" b="0" i="0" u="none" strike="noStrike" baseline="0">
                <a:effectLst/>
              </a:rPr>
              <a:t>)</a:t>
            </a:r>
            <a:endParaRPr lang="cs-CZ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strana3!$A$31:$B$31</c:f>
              <c:strCache>
                <c:ptCount val="2"/>
                <c:pt idx="0">
                  <c:v>#NENÍ_K_DISPOZICI</c:v>
                </c:pt>
                <c:pt idx="1">
                  <c:v>URO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1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322-4B20-BBDB-6DAD469CE55B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322-4B20-BBDB-6DAD469CE5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322-4B20-BBDB-6DAD469CE55B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322-4B20-BBDB-6DAD469CE55B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322-4B20-BBDB-6DAD469CE55B}"/>
              </c:ext>
            </c:extLst>
          </c:dPt>
          <c:cat>
            <c:strRef>
              <c:f>strana3!$C$30:$J$30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strana3!$C$31:$J$31</c:f>
              <c:numCache>
                <c:formatCode>0.00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322-4B20-BBDB-6DAD469CE55B}"/>
            </c:ext>
          </c:extLst>
        </c:ser>
        <c:ser>
          <c:idx val="1"/>
          <c:order val="1"/>
          <c:tx>
            <c:strRef>
              <c:f>[1]strana2!$A$53:$B$53</c:f>
              <c:strCache>
                <c:ptCount val="1"/>
                <c:pt idx="0">
                  <c:v>#NENÍ_K_DISPOZICI #NENÍ_K_DISPOZICI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[1]strana2!$C$51:$J$51</c:f>
              <c:strCache>
                <c:ptCount val="8"/>
                <c:pt idx="0">
                  <c:v>Rok 2021</c:v>
                </c:pt>
                <c:pt idx="1">
                  <c:v>Rok 2022</c:v>
                </c:pt>
                <c:pt idx="2">
                  <c:v>Rok 2023</c:v>
                </c:pt>
                <c:pt idx="3">
                  <c:v>Rok 2024</c:v>
                </c:pt>
                <c:pt idx="4">
                  <c:v>listopad 2024</c:v>
                </c:pt>
                <c:pt idx="5">
                  <c:v>říjen 2024</c:v>
                </c:pt>
                <c:pt idx="6">
                  <c:v>září 2024</c:v>
                </c:pt>
                <c:pt idx="7">
                  <c:v>srpen 2024</c:v>
                </c:pt>
              </c:strCache>
            </c:strRef>
          </c:cat>
          <c:val>
            <c:numRef>
              <c:f>[1]strana2!$C$53:$J$53</c:f>
              <c:numCache>
                <c:formatCode>General</c:formatCode>
                <c:ptCount val="8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322-4B20-BBDB-6DAD469CE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55474248"/>
        <c:axId val="655474576"/>
      </c:barChart>
      <c:catAx>
        <c:axId val="65547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576"/>
        <c:crosses val="autoZero"/>
        <c:auto val="1"/>
        <c:lblAlgn val="ctr"/>
        <c:lblOffset val="100"/>
        <c:noMultiLvlLbl val="0"/>
      </c:catAx>
      <c:valAx>
        <c:axId val="655474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65547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4</xdr:row>
      <xdr:rowOff>185737</xdr:rowOff>
    </xdr:from>
    <xdr:to>
      <xdr:col>9</xdr:col>
      <xdr:colOff>739588</xdr:colOff>
      <xdr:row>20</xdr:row>
      <xdr:rowOff>180975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3233208-CC71-5F72-D45A-0668E5359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</xdr:row>
      <xdr:rowOff>185736</xdr:rowOff>
    </xdr:from>
    <xdr:to>
      <xdr:col>9</xdr:col>
      <xdr:colOff>739588</xdr:colOff>
      <xdr:row>46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6BD9385-5D9E-20D6-273F-176BCB8535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54</xdr:row>
      <xdr:rowOff>185737</xdr:rowOff>
    </xdr:from>
    <xdr:to>
      <xdr:col>9</xdr:col>
      <xdr:colOff>739588</xdr:colOff>
      <xdr:row>71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BE11488-073B-298A-6962-F4D6711E2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81</xdr:row>
      <xdr:rowOff>1119</xdr:rowOff>
    </xdr:from>
    <xdr:to>
      <xdr:col>9</xdr:col>
      <xdr:colOff>739588</xdr:colOff>
      <xdr:row>97</xdr:row>
      <xdr:rowOff>11205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0D0B1AC0-7AE6-A03D-26C6-F9CB0C6220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0.40387</cdr:x>
      <cdr:y>0.147</cdr:y>
    </cdr:from>
    <cdr:to>
      <cdr:x>0.40387</cdr:x>
      <cdr:y>0.81439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CB0E54DD-52D3-1D6A-7E83-CAC1F0D8D6EE}"/>
            </a:ext>
          </a:extLst>
        </cdr:cNvPr>
        <cdr:cNvCxnSpPr/>
      </cdr:nvCxnSpPr>
      <cdr:spPr>
        <a:xfrm xmlns:a="http://schemas.openxmlformats.org/drawingml/2006/main" flipV="1">
          <a:off x="3381375" y="476249"/>
          <a:ext cx="0" cy="2162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0.63367</cdr:x>
      <cdr:y>0.14406</cdr:y>
    </cdr:from>
    <cdr:to>
      <cdr:x>0.63367</cdr:x>
      <cdr:y>0.81439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9977112A-BFAB-0216-F6D7-EBEFB769E9C2}"/>
            </a:ext>
          </a:extLst>
        </cdr:cNvPr>
        <cdr:cNvCxnSpPr/>
      </cdr:nvCxnSpPr>
      <cdr:spPr>
        <a:xfrm xmlns:a="http://schemas.openxmlformats.org/drawingml/2006/main" flipV="1">
          <a:off x="5305425" y="466724"/>
          <a:ext cx="0" cy="217170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0.52105</cdr:x>
      <cdr:y>0.2646</cdr:y>
    </cdr:from>
    <cdr:to>
      <cdr:x>0.52218</cdr:x>
      <cdr:y>0.81733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EBBA77D3-7B77-8C98-5501-AA714EDCAF94}"/>
            </a:ext>
          </a:extLst>
        </cdr:cNvPr>
        <cdr:cNvCxnSpPr/>
      </cdr:nvCxnSpPr>
      <cdr:spPr>
        <a:xfrm xmlns:a="http://schemas.openxmlformats.org/drawingml/2006/main" flipV="1">
          <a:off x="4362450" y="857249"/>
          <a:ext cx="9525" cy="179070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0</xdr:rowOff>
    </xdr:from>
    <xdr:to>
      <xdr:col>9</xdr:col>
      <xdr:colOff>752475</xdr:colOff>
      <xdr:row>50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7F92ED1E-3D15-4D5F-A47C-904EC1EA5A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7</xdr:row>
      <xdr:rowOff>1</xdr:rowOff>
    </xdr:from>
    <xdr:to>
      <xdr:col>9</xdr:col>
      <xdr:colOff>742950</xdr:colOff>
      <xdr:row>24</xdr:row>
      <xdr:rowOff>1243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079FA57-225F-475B-BC1E-7351F545E5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83</xdr:row>
      <xdr:rowOff>0</xdr:rowOff>
    </xdr:from>
    <xdr:to>
      <xdr:col>9</xdr:col>
      <xdr:colOff>752475</xdr:colOff>
      <xdr:row>100</xdr:row>
      <xdr:rowOff>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BBA3E87E-9EA0-48E9-ABB1-B4A57ECBE5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58</xdr:row>
      <xdr:rowOff>1</xdr:rowOff>
    </xdr:from>
    <xdr:to>
      <xdr:col>9</xdr:col>
      <xdr:colOff>742950</xdr:colOff>
      <xdr:row>75</xdr:row>
      <xdr:rowOff>1243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522F30D-4492-46AF-8FA8-037FC6043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0.39905</cdr:x>
      <cdr:y>0.00893</cdr:y>
    </cdr:from>
    <cdr:to>
      <cdr:x>0.40039</cdr:x>
      <cdr:y>0.79693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26E23604-D266-187F-465D-A03384AAB495}"/>
            </a:ext>
          </a:extLst>
        </cdr:cNvPr>
        <cdr:cNvCxnSpPr/>
      </cdr:nvCxnSpPr>
      <cdr:spPr>
        <a:xfrm xmlns:a="http://schemas.openxmlformats.org/drawingml/2006/main">
          <a:off x="3341035" y="27174"/>
          <a:ext cx="11206" cy="23980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0.6306</cdr:x>
      <cdr:y>0.00893</cdr:y>
    </cdr:from>
    <cdr:to>
      <cdr:x>0.63193</cdr:x>
      <cdr:y>0.80061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01330081-D1EB-43CE-31A7-66E559A48888}"/>
            </a:ext>
          </a:extLst>
        </cdr:cNvPr>
        <cdr:cNvCxnSpPr/>
      </cdr:nvCxnSpPr>
      <cdr:spPr>
        <a:xfrm xmlns:a="http://schemas.openxmlformats.org/drawingml/2006/main">
          <a:off x="5279652" y="27174"/>
          <a:ext cx="11206" cy="240926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0.51549</cdr:x>
      <cdr:y>0.15254</cdr:y>
    </cdr:from>
    <cdr:to>
      <cdr:x>0.51549</cdr:x>
      <cdr:y>0.80429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CFAE7FD4-6890-D116-E18F-26FB313724FB}"/>
            </a:ext>
          </a:extLst>
        </cdr:cNvPr>
        <cdr:cNvCxnSpPr/>
      </cdr:nvCxnSpPr>
      <cdr:spPr>
        <a:xfrm xmlns:a="http://schemas.openxmlformats.org/drawingml/2006/main">
          <a:off x="4315947" y="464204"/>
          <a:ext cx="0" cy="1983441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0.40241</cdr:x>
      <cdr:y>0.14839</cdr:y>
    </cdr:from>
    <cdr:to>
      <cdr:x>0.40508</cdr:x>
      <cdr:y>0.80545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8329F7B7-E5C4-CA30-CE4B-194FC697B620}"/>
            </a:ext>
          </a:extLst>
        </cdr:cNvPr>
        <cdr:cNvCxnSpPr/>
      </cdr:nvCxnSpPr>
      <cdr:spPr>
        <a:xfrm xmlns:a="http://schemas.openxmlformats.org/drawingml/2006/main" flipV="1">
          <a:off x="3372971" y="453000"/>
          <a:ext cx="22411" cy="20058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0.63369</cdr:x>
      <cdr:y>0.14839</cdr:y>
    </cdr:from>
    <cdr:to>
      <cdr:x>0.63503</cdr:x>
      <cdr:y>0.80545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C5D5EF34-E1D9-024C-7729-A63C959F962C}"/>
            </a:ext>
          </a:extLst>
        </cdr:cNvPr>
        <cdr:cNvCxnSpPr/>
      </cdr:nvCxnSpPr>
      <cdr:spPr>
        <a:xfrm xmlns:a="http://schemas.openxmlformats.org/drawingml/2006/main" flipV="1">
          <a:off x="5311588" y="453000"/>
          <a:ext cx="11206" cy="200585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0.51604</cdr:x>
      <cdr:y>0.22915</cdr:y>
    </cdr:from>
    <cdr:to>
      <cdr:x>0.51604</cdr:x>
      <cdr:y>0.80545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E6E6B06F-CD8C-6652-4D1E-2D354F618A07}"/>
            </a:ext>
          </a:extLst>
        </cdr:cNvPr>
        <cdr:cNvCxnSpPr/>
      </cdr:nvCxnSpPr>
      <cdr:spPr>
        <a:xfrm xmlns:a="http://schemas.openxmlformats.org/drawingml/2006/main" flipV="1">
          <a:off x="4325471" y="699529"/>
          <a:ext cx="0" cy="1759324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0.40241</cdr:x>
      <cdr:y>0.14793</cdr:y>
    </cdr:from>
    <cdr:to>
      <cdr:x>0.40241</cdr:x>
      <cdr:y>0.80661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6278F7A4-2CB4-9024-FB4A-6621E7604670}"/>
            </a:ext>
          </a:extLst>
        </cdr:cNvPr>
        <cdr:cNvCxnSpPr/>
      </cdr:nvCxnSpPr>
      <cdr:spPr>
        <a:xfrm xmlns:a="http://schemas.openxmlformats.org/drawingml/2006/main" flipV="1">
          <a:off x="3372971" y="452998"/>
          <a:ext cx="0" cy="20170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0.63369</cdr:x>
      <cdr:y>0.14793</cdr:y>
    </cdr:from>
    <cdr:to>
      <cdr:x>0.63636</cdr:x>
      <cdr:y>0.80661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A5E7C373-D44B-127D-7842-044007E90DC6}"/>
            </a:ext>
          </a:extLst>
        </cdr:cNvPr>
        <cdr:cNvCxnSpPr/>
      </cdr:nvCxnSpPr>
      <cdr:spPr>
        <a:xfrm xmlns:a="http://schemas.openxmlformats.org/drawingml/2006/main" flipV="1">
          <a:off x="5311588" y="452998"/>
          <a:ext cx="22412" cy="20170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0.51738</cdr:x>
      <cdr:y>0.26869</cdr:y>
    </cdr:from>
    <cdr:to>
      <cdr:x>0.51872</cdr:x>
      <cdr:y>0.80661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B56257B4-BECE-01F2-3F9F-B1EFDB2D70A9}"/>
            </a:ext>
          </a:extLst>
        </cdr:cNvPr>
        <cdr:cNvCxnSpPr/>
      </cdr:nvCxnSpPr>
      <cdr:spPr>
        <a:xfrm xmlns:a="http://schemas.openxmlformats.org/drawingml/2006/main" flipH="1" flipV="1">
          <a:off x="4336676" y="822792"/>
          <a:ext cx="11206" cy="164726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0.40241</cdr:x>
      <cdr:y>0.15354</cdr:y>
    </cdr:from>
    <cdr:to>
      <cdr:x>0.40374</cdr:x>
      <cdr:y>0.80579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9157326C-94AE-96E8-4DE1-0B5894A38E96}"/>
            </a:ext>
          </a:extLst>
        </cdr:cNvPr>
        <cdr:cNvCxnSpPr/>
      </cdr:nvCxnSpPr>
      <cdr:spPr>
        <a:xfrm xmlns:a="http://schemas.openxmlformats.org/drawingml/2006/main" flipV="1">
          <a:off x="3372971" y="469528"/>
          <a:ext cx="11205" cy="199464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0.63369</cdr:x>
      <cdr:y>0.16086</cdr:y>
    </cdr:from>
    <cdr:to>
      <cdr:x>0.63636</cdr:x>
      <cdr:y>0.80213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227F670D-6CA8-180F-8170-719F6CD7892C}"/>
            </a:ext>
          </a:extLst>
        </cdr:cNvPr>
        <cdr:cNvCxnSpPr/>
      </cdr:nvCxnSpPr>
      <cdr:spPr>
        <a:xfrm xmlns:a="http://schemas.openxmlformats.org/drawingml/2006/main" flipV="1">
          <a:off x="5311588" y="491939"/>
          <a:ext cx="22412" cy="196103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0.51471</cdr:x>
      <cdr:y>0.22316</cdr:y>
    </cdr:from>
    <cdr:to>
      <cdr:x>0.51471</cdr:x>
      <cdr:y>0.80213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70E00AFF-B2AD-8802-A3D3-CB94DB5E8619}"/>
            </a:ext>
          </a:extLst>
        </cdr:cNvPr>
        <cdr:cNvCxnSpPr/>
      </cdr:nvCxnSpPr>
      <cdr:spPr>
        <a:xfrm xmlns:a="http://schemas.openxmlformats.org/drawingml/2006/main" flipV="1">
          <a:off x="4314265" y="682439"/>
          <a:ext cx="0" cy="1770530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39</xdr:row>
      <xdr:rowOff>0</xdr:rowOff>
    </xdr:from>
    <xdr:to>
      <xdr:col>9</xdr:col>
      <xdr:colOff>752475</xdr:colOff>
      <xdr:row>56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2F7F89B2-741C-47B8-ADD5-351BAC09FF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84</xdr:row>
      <xdr:rowOff>166804</xdr:rowOff>
    </xdr:from>
    <xdr:to>
      <xdr:col>9</xdr:col>
      <xdr:colOff>752475</xdr:colOff>
      <xdr:row>102</xdr:row>
      <xdr:rowOff>9525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B4BBC31-714D-480C-8E5D-828DF30E5A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110</xdr:row>
      <xdr:rowOff>188696</xdr:rowOff>
    </xdr:from>
    <xdr:to>
      <xdr:col>9</xdr:col>
      <xdr:colOff>752476</xdr:colOff>
      <xdr:row>128</xdr:row>
      <xdr:rowOff>19049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id="{AB9175AB-3C6F-7E03-F570-65FB322E88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13</xdr:row>
      <xdr:rowOff>1</xdr:rowOff>
    </xdr:from>
    <xdr:to>
      <xdr:col>9</xdr:col>
      <xdr:colOff>742950</xdr:colOff>
      <xdr:row>30</xdr:row>
      <xdr:rowOff>1243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50245414-078B-DD79-38D1-9EEED85C47E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0.40227</cdr:x>
      <cdr:y>0.14706</cdr:y>
    </cdr:from>
    <cdr:to>
      <cdr:x>0.40341</cdr:x>
      <cdr:y>0.81471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8EAF428C-B110-189C-1215-11A79D2331E1}"/>
            </a:ext>
          </a:extLst>
        </cdr:cNvPr>
        <cdr:cNvCxnSpPr/>
      </cdr:nvCxnSpPr>
      <cdr:spPr>
        <a:xfrm xmlns:a="http://schemas.openxmlformats.org/drawingml/2006/main" flipV="1">
          <a:off x="3371850" y="476250"/>
          <a:ext cx="9525" cy="2162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0.63409</cdr:x>
      <cdr:y>0.14706</cdr:y>
    </cdr:from>
    <cdr:to>
      <cdr:x>0.63409</cdr:x>
      <cdr:y>0.81471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C11DCD5D-C259-1BFD-7AF6-295633A3C78C}"/>
            </a:ext>
          </a:extLst>
        </cdr:cNvPr>
        <cdr:cNvCxnSpPr/>
      </cdr:nvCxnSpPr>
      <cdr:spPr>
        <a:xfrm xmlns:a="http://schemas.openxmlformats.org/drawingml/2006/main" flipV="1">
          <a:off x="5314950" y="476250"/>
          <a:ext cx="0" cy="21621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0.51705</cdr:x>
      <cdr:y>0.22059</cdr:y>
    </cdr:from>
    <cdr:to>
      <cdr:x>0.51818</cdr:x>
      <cdr:y>0.81765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E7EC2E75-5AAD-0B24-8FD3-89AD4BC31CED}"/>
            </a:ext>
          </a:extLst>
        </cdr:cNvPr>
        <cdr:cNvCxnSpPr/>
      </cdr:nvCxnSpPr>
      <cdr:spPr>
        <a:xfrm xmlns:a="http://schemas.openxmlformats.org/drawingml/2006/main" flipV="1">
          <a:off x="4333875" y="714375"/>
          <a:ext cx="9525" cy="193357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0.40455</cdr:x>
      <cdr:y>0.14116</cdr:y>
    </cdr:from>
    <cdr:to>
      <cdr:x>0.40682</cdr:x>
      <cdr:y>0.8195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16CAE9AA-B487-5A78-201B-171C9C5A77C0}"/>
            </a:ext>
          </a:extLst>
        </cdr:cNvPr>
        <cdr:cNvCxnSpPr/>
      </cdr:nvCxnSpPr>
      <cdr:spPr>
        <a:xfrm xmlns:a="http://schemas.openxmlformats.org/drawingml/2006/main" flipV="1">
          <a:off x="3390900" y="461846"/>
          <a:ext cx="19050" cy="2219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0.63523</cdr:x>
      <cdr:y>0.13825</cdr:y>
    </cdr:from>
    <cdr:to>
      <cdr:x>0.63636</cdr:x>
      <cdr:y>0.81659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757E1DB6-CA5A-BCAC-1BE6-73A936293BD4}"/>
            </a:ext>
          </a:extLst>
        </cdr:cNvPr>
        <cdr:cNvCxnSpPr/>
      </cdr:nvCxnSpPr>
      <cdr:spPr>
        <a:xfrm xmlns:a="http://schemas.openxmlformats.org/drawingml/2006/main" flipV="1">
          <a:off x="5324475" y="452321"/>
          <a:ext cx="9525" cy="22193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0.52273</cdr:x>
      <cdr:y>0.26053</cdr:y>
    </cdr:from>
    <cdr:to>
      <cdr:x>0.52273</cdr:x>
      <cdr:y>0.81659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57D9E050-B1A3-52E0-B9E8-CA2F5099C6C0}"/>
            </a:ext>
          </a:extLst>
        </cdr:cNvPr>
        <cdr:cNvCxnSpPr/>
      </cdr:nvCxnSpPr>
      <cdr:spPr>
        <a:xfrm xmlns:a="http://schemas.openxmlformats.org/drawingml/2006/main" flipV="1">
          <a:off x="4381500" y="852371"/>
          <a:ext cx="0" cy="181927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0.40682</cdr:x>
      <cdr:y>0.14667</cdr:y>
    </cdr:from>
    <cdr:to>
      <cdr:x>0.40909</cdr:x>
      <cdr:y>0.81589</cdr:y>
    </cdr:to>
    <cdr:cxnSp macro="">
      <cdr:nvCxnSpPr>
        <cdr:cNvPr id="3" name="Přímá spojnice 2">
          <a:extLst xmlns:a="http://schemas.openxmlformats.org/drawingml/2006/main">
            <a:ext uri="{FF2B5EF4-FFF2-40B4-BE49-F238E27FC236}">
              <a16:creationId xmlns:a16="http://schemas.microsoft.com/office/drawing/2014/main" id="{97171DD3-31EF-97F9-0B0F-DF6795B07675}"/>
            </a:ext>
          </a:extLst>
        </cdr:cNvPr>
        <cdr:cNvCxnSpPr/>
      </cdr:nvCxnSpPr>
      <cdr:spPr>
        <a:xfrm xmlns:a="http://schemas.openxmlformats.org/drawingml/2006/main" flipV="1">
          <a:off x="3409949" y="478054"/>
          <a:ext cx="19050" cy="2181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0.63636</cdr:x>
      <cdr:y>0.14667</cdr:y>
    </cdr:from>
    <cdr:to>
      <cdr:x>0.63636</cdr:x>
      <cdr:y>0.81589</cdr:y>
    </cdr:to>
    <cdr:cxnSp macro="">
      <cdr:nvCxnSpPr>
        <cdr:cNvPr id="5" name="Přímá spojnice 4">
          <a:extLst xmlns:a="http://schemas.openxmlformats.org/drawingml/2006/main">
            <a:ext uri="{FF2B5EF4-FFF2-40B4-BE49-F238E27FC236}">
              <a16:creationId xmlns:a16="http://schemas.microsoft.com/office/drawing/2014/main" id="{64939814-8CF4-E003-BD5B-F845F21B5A4D}"/>
            </a:ext>
          </a:extLst>
        </cdr:cNvPr>
        <cdr:cNvCxnSpPr/>
      </cdr:nvCxnSpPr>
      <cdr:spPr>
        <a:xfrm xmlns:a="http://schemas.openxmlformats.org/drawingml/2006/main" flipV="1">
          <a:off x="5333999" y="478054"/>
          <a:ext cx="0" cy="218122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3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2">
          <a:schemeClr val="accent3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0.52159</cdr:x>
      <cdr:y>0.26357</cdr:y>
    </cdr:from>
    <cdr:to>
      <cdr:x>0.52159</cdr:x>
      <cdr:y>0.82174</cdr:y>
    </cdr:to>
    <cdr:cxnSp macro="">
      <cdr:nvCxnSpPr>
        <cdr:cNvPr id="7" name="Přímá spojnice 6">
          <a:extLst xmlns:a="http://schemas.openxmlformats.org/drawingml/2006/main">
            <a:ext uri="{FF2B5EF4-FFF2-40B4-BE49-F238E27FC236}">
              <a16:creationId xmlns:a16="http://schemas.microsoft.com/office/drawing/2014/main" id="{D037B3F8-B805-11CA-0255-900597A48026}"/>
            </a:ext>
          </a:extLst>
        </cdr:cNvPr>
        <cdr:cNvCxnSpPr/>
      </cdr:nvCxnSpPr>
      <cdr:spPr>
        <a:xfrm xmlns:a="http://schemas.openxmlformats.org/drawingml/2006/main" flipV="1">
          <a:off x="4371974" y="859054"/>
          <a:ext cx="0" cy="1819275"/>
        </a:xfrm>
        <a:prstGeom xmlns:a="http://schemas.openxmlformats.org/drawingml/2006/main" prst="line">
          <a:avLst/>
        </a:prstGeom>
        <a:ln xmlns:a="http://schemas.openxmlformats.org/drawingml/2006/main" w="9525" cap="flat" cmpd="sng" algn="ctr">
          <a:solidFill>
            <a:schemeClr val="accent3"/>
          </a:solidFill>
          <a:prstDash val="dash"/>
          <a:round/>
          <a:headEnd type="none" w="med" len="med"/>
          <a:tailEnd type="none" w="med" len="med"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tilizaceKlinika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staveni"/>
      <sheetName val="strana1"/>
      <sheetName val="strana2"/>
      <sheetName val="strana3"/>
      <sheetName val="DATA"/>
      <sheetName val="TAB_PozdniNavozPocetZaTyden"/>
      <sheetName val="TAB_KratsiDelsiNezPlanZaTyden"/>
      <sheetName val="List1"/>
      <sheetName val="List2"/>
      <sheetName val="List3"/>
      <sheetName val="List4"/>
      <sheetName val="List5"/>
      <sheetName val="List6"/>
      <sheetName val="List7"/>
      <sheetName val="List8"/>
      <sheetName val="List9"/>
    </sheetNames>
    <sheetDataSet>
      <sheetData sheetId="0"/>
      <sheetData sheetId="1">
        <row r="2">
          <cell r="A2" t="str">
            <v>popis</v>
          </cell>
          <cell r="B2" t="str">
            <v>fnol</v>
          </cell>
          <cell r="C2" t="str">
            <v>Rok 2021</v>
          </cell>
          <cell r="D2" t="str">
            <v>Rok 2022</v>
          </cell>
          <cell r="E2" t="str">
            <v>Rok 2023</v>
          </cell>
          <cell r="F2" t="str">
            <v>Rok 2024</v>
          </cell>
          <cell r="G2" t="str">
            <v>listopad 2024</v>
          </cell>
          <cell r="H2" t="str">
            <v>říjen 2024</v>
          </cell>
          <cell r="I2" t="str">
            <v>září 2024</v>
          </cell>
          <cell r="J2" t="str">
            <v>srpen 2024</v>
          </cell>
        </row>
      </sheetData>
      <sheetData sheetId="2">
        <row r="21">
          <cell r="C21" t="str">
            <v>Rok 2021</v>
          </cell>
          <cell r="D21" t="str">
            <v>Rok 2022</v>
          </cell>
          <cell r="E21" t="str">
            <v>Rok 2023</v>
          </cell>
          <cell r="F21" t="str">
            <v>Rok 2024</v>
          </cell>
          <cell r="G21" t="str">
            <v>listopad 2024</v>
          </cell>
          <cell r="H21" t="str">
            <v>říjen 2024</v>
          </cell>
          <cell r="I21" t="str">
            <v>září 2024</v>
          </cell>
          <cell r="J21" t="str">
            <v>srpen 2024</v>
          </cell>
        </row>
        <row r="23">
          <cell r="A23" t="str">
            <v>minuty</v>
          </cell>
          <cell r="B23" t="str">
            <v>FNOL</v>
          </cell>
          <cell r="C23" t="e">
            <v>#N/A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H23" t="e">
            <v>#N/A</v>
          </cell>
          <cell r="I23" t="e">
            <v>#N/A</v>
          </cell>
          <cell r="J23" t="e">
            <v>#N/A</v>
          </cell>
        </row>
        <row r="51">
          <cell r="C51" t="str">
            <v>Rok 2021</v>
          </cell>
          <cell r="D51" t="str">
            <v>Rok 2022</v>
          </cell>
          <cell r="E51" t="str">
            <v>Rok 2023</v>
          </cell>
          <cell r="F51" t="str">
            <v>Rok 2024</v>
          </cell>
          <cell r="G51" t="str">
            <v>listopad 2024</v>
          </cell>
          <cell r="H51" t="str">
            <v>říjen 2024</v>
          </cell>
          <cell r="I51" t="str">
            <v>září 2024</v>
          </cell>
          <cell r="J51" t="str">
            <v>srpen 2024</v>
          </cell>
        </row>
        <row r="53">
          <cell r="A53" t="e">
            <v>#N/A</v>
          </cell>
          <cell r="B53" t="e">
            <v>#N/A</v>
          </cell>
          <cell r="C53" t="e">
            <v>#N/A</v>
          </cell>
          <cell r="D53" t="e">
            <v>#N/A</v>
          </cell>
          <cell r="E53" t="e">
            <v>#N/A</v>
          </cell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</row>
      </sheetData>
      <sheetData sheetId="3"/>
      <sheetData sheetId="4">
        <row r="1">
          <cell r="A1" t="str">
            <v>ID</v>
          </cell>
          <cell r="B1" t="str">
            <v>popis</v>
          </cell>
          <cell r="C1" t="str">
            <v>fnol</v>
          </cell>
          <cell r="D1" t="str">
            <v>2021</v>
          </cell>
          <cell r="E1" t="str">
            <v>2022</v>
          </cell>
          <cell r="F1" t="str">
            <v>2023</v>
          </cell>
          <cell r="G1" t="str">
            <v>2024</v>
          </cell>
          <cell r="H1" t="str">
            <v>M0</v>
          </cell>
          <cell r="I1" t="str">
            <v>M-1</v>
          </cell>
          <cell r="J1" t="str">
            <v>M-2</v>
          </cell>
          <cell r="K1" t="str">
            <v>M-3</v>
          </cell>
          <cell r="U1" t="str">
            <v>URO</v>
          </cell>
        </row>
        <row r="2">
          <cell r="A2" t="str">
            <v>UtilizaceRezu_URO</v>
          </cell>
          <cell r="B2" t="str">
            <v>UtilizaceRezu</v>
          </cell>
          <cell r="C2" t="str">
            <v>URO</v>
          </cell>
          <cell r="D2">
            <v>41.74</v>
          </cell>
          <cell r="E2">
            <v>45.56</v>
          </cell>
          <cell r="F2">
            <v>44.7</v>
          </cell>
          <cell r="G2">
            <v>44.67</v>
          </cell>
          <cell r="H2">
            <v>44.8</v>
          </cell>
          <cell r="I2">
            <v>46.63</v>
          </cell>
          <cell r="J2">
            <v>43.96</v>
          </cell>
          <cell r="K2">
            <v>44.94</v>
          </cell>
        </row>
        <row r="3">
          <cell r="A3" t="str">
            <v>UtilizaceRezu_fnol</v>
          </cell>
          <cell r="B3" t="str">
            <v>UtilizaceRezu</v>
          </cell>
          <cell r="C3" t="str">
            <v>fnol</v>
          </cell>
          <cell r="D3">
            <v>41.78</v>
          </cell>
          <cell r="E3">
            <v>44.9</v>
          </cell>
          <cell r="F3">
            <v>43.6</v>
          </cell>
          <cell r="G3">
            <v>42.98</v>
          </cell>
          <cell r="H3">
            <v>40.22</v>
          </cell>
          <cell r="I3">
            <v>42.73</v>
          </cell>
          <cell r="J3">
            <v>42.5</v>
          </cell>
          <cell r="K3">
            <v>43.67</v>
          </cell>
        </row>
        <row r="4">
          <cell r="A4" t="str">
            <v>UtilizaceChirurgicka_fnol</v>
          </cell>
          <cell r="B4" t="str">
            <v>UtilizaceChirurgicka</v>
          </cell>
          <cell r="C4" t="str">
            <v>fnol</v>
          </cell>
          <cell r="D4">
            <v>48.51</v>
          </cell>
          <cell r="E4">
            <v>51.67</v>
          </cell>
          <cell r="F4">
            <v>50.17</v>
          </cell>
          <cell r="G4">
            <v>49.6</v>
          </cell>
          <cell r="H4">
            <v>48.93</v>
          </cell>
          <cell r="I4">
            <v>49.96</v>
          </cell>
          <cell r="J4">
            <v>48.38</v>
          </cell>
          <cell r="K4">
            <v>47.65</v>
          </cell>
        </row>
        <row r="5">
          <cell r="A5" t="str">
            <v>UtilizaceChirurgicka_URO</v>
          </cell>
          <cell r="B5" t="str">
            <v>UtilizaceChirurgicka</v>
          </cell>
          <cell r="C5" t="str">
            <v>URO</v>
          </cell>
          <cell r="D5">
            <v>50.07</v>
          </cell>
          <cell r="E5">
            <v>53.78</v>
          </cell>
          <cell r="F5">
            <v>52.96</v>
          </cell>
          <cell r="G5">
            <v>52.77</v>
          </cell>
          <cell r="H5">
            <v>53.22</v>
          </cell>
          <cell r="I5">
            <v>54.72</v>
          </cell>
          <cell r="J5">
            <v>51.83</v>
          </cell>
          <cell r="K5">
            <v>54.01</v>
          </cell>
        </row>
        <row r="6">
          <cell r="A6" t="str">
            <v>UtilizaceCelkova_fnol</v>
          </cell>
          <cell r="B6" t="str">
            <v>UtilizaceCelkova</v>
          </cell>
          <cell r="C6" t="str">
            <v>fnol</v>
          </cell>
          <cell r="D6">
            <v>66.069999999999993</v>
          </cell>
          <cell r="E6">
            <v>70.040000000000006</v>
          </cell>
          <cell r="F6">
            <v>67.09</v>
          </cell>
          <cell r="G6">
            <v>66.97</v>
          </cell>
          <cell r="H6">
            <v>67.36</v>
          </cell>
          <cell r="I6">
            <v>68.03</v>
          </cell>
          <cell r="J6">
            <v>66.03</v>
          </cell>
          <cell r="K6">
            <v>62.79</v>
          </cell>
        </row>
        <row r="7">
          <cell r="A7" t="str">
            <v>UtilizaceCelkova_URO</v>
          </cell>
          <cell r="B7" t="str">
            <v>UtilizaceCelkova</v>
          </cell>
          <cell r="C7" t="str">
            <v>URO</v>
          </cell>
          <cell r="D7">
            <v>66.36</v>
          </cell>
          <cell r="E7">
            <v>72.22</v>
          </cell>
          <cell r="F7">
            <v>73.14</v>
          </cell>
          <cell r="G7">
            <v>72.44</v>
          </cell>
          <cell r="H7">
            <v>73.11</v>
          </cell>
          <cell r="I7">
            <v>72.86</v>
          </cell>
          <cell r="J7">
            <v>72.02</v>
          </cell>
          <cell r="K7">
            <v>72.52</v>
          </cell>
        </row>
        <row r="8">
          <cell r="A8" t="str">
            <v>UtilizaceAnesteziologicka_fnol</v>
          </cell>
          <cell r="B8" t="str">
            <v>UtilizaceAnesteziologicka</v>
          </cell>
          <cell r="C8" t="str">
            <v>fnol</v>
          </cell>
          <cell r="D8">
            <v>14.97</v>
          </cell>
          <cell r="E8">
            <v>17.100000000000001</v>
          </cell>
          <cell r="F8">
            <v>16.03</v>
          </cell>
          <cell r="G8">
            <v>15.73</v>
          </cell>
          <cell r="H8">
            <v>17.73</v>
          </cell>
          <cell r="I8">
            <v>17.46</v>
          </cell>
          <cell r="J8">
            <v>16.47</v>
          </cell>
          <cell r="K8">
            <v>12.67</v>
          </cell>
        </row>
        <row r="9">
          <cell r="A9" t="str">
            <v>UtilizaceAnesteziologicka_URO</v>
          </cell>
          <cell r="B9" t="str">
            <v>UtilizaceAnesteziologicka</v>
          </cell>
          <cell r="C9" t="str">
            <v>URO</v>
          </cell>
          <cell r="D9">
            <v>12.84</v>
          </cell>
          <cell r="E9">
            <v>17.25</v>
          </cell>
          <cell r="F9">
            <v>18.170000000000002</v>
          </cell>
          <cell r="G9">
            <v>17.670000000000002</v>
          </cell>
          <cell r="H9">
            <v>15.77</v>
          </cell>
          <cell r="I9">
            <v>22.01</v>
          </cell>
          <cell r="J9">
            <v>24.32</v>
          </cell>
          <cell r="K9">
            <v>15.02</v>
          </cell>
        </row>
        <row r="10">
          <cell r="A10" t="str">
            <v>PrvniRezPCT_fnol</v>
          </cell>
          <cell r="B10" t="str">
            <v>PrvniRezPCT</v>
          </cell>
          <cell r="C10" t="str">
            <v>fnol</v>
          </cell>
          <cell r="D10">
            <v>87.07</v>
          </cell>
          <cell r="E10">
            <v>84.1</v>
          </cell>
          <cell r="F10">
            <v>76.89</v>
          </cell>
          <cell r="G10">
            <v>78.69</v>
          </cell>
          <cell r="H10">
            <v>80.930000000000007</v>
          </cell>
          <cell r="I10">
            <v>81.64</v>
          </cell>
          <cell r="J10">
            <v>79.53</v>
          </cell>
          <cell r="K10">
            <v>75.52</v>
          </cell>
        </row>
        <row r="11">
          <cell r="A11" t="str">
            <v>PrvniRezPCT_URO</v>
          </cell>
          <cell r="B11" t="str">
            <v>PrvniRezPCT</v>
          </cell>
          <cell r="C11" t="str">
            <v>URO</v>
          </cell>
          <cell r="D11">
            <v>91.7</v>
          </cell>
          <cell r="E11">
            <v>87.1</v>
          </cell>
          <cell r="F11">
            <v>89.84</v>
          </cell>
          <cell r="G11">
            <v>79.63</v>
          </cell>
          <cell r="H11">
            <v>71.430000000000007</v>
          </cell>
          <cell r="I11">
            <v>77.78</v>
          </cell>
          <cell r="J11">
            <v>84.21</v>
          </cell>
          <cell r="K11">
            <v>66.67</v>
          </cell>
        </row>
        <row r="12">
          <cell r="A12" t="str">
            <v>PrvniRezMIN_fnol</v>
          </cell>
          <cell r="B12" t="str">
            <v>PrvniRezMIN</v>
          </cell>
          <cell r="C12" t="str">
            <v>fnol</v>
          </cell>
          <cell r="D12">
            <v>202603</v>
          </cell>
          <cell r="E12">
            <v>182111</v>
          </cell>
          <cell r="F12">
            <v>234292</v>
          </cell>
          <cell r="G12">
            <v>219301</v>
          </cell>
          <cell r="H12">
            <v>7223</v>
          </cell>
          <cell r="I12">
            <v>24048</v>
          </cell>
          <cell r="J12">
            <v>18719</v>
          </cell>
          <cell r="K12">
            <v>21518</v>
          </cell>
        </row>
        <row r="13">
          <cell r="A13" t="str">
            <v>PrvniRezMIN_URO</v>
          </cell>
          <cell r="B13" t="str">
            <v>PrvniRezMIN</v>
          </cell>
          <cell r="C13" t="str">
            <v>URO</v>
          </cell>
          <cell r="D13">
            <v>23316</v>
          </cell>
          <cell r="E13">
            <v>19479</v>
          </cell>
          <cell r="F13">
            <v>12970</v>
          </cell>
          <cell r="G13">
            <v>11828</v>
          </cell>
          <cell r="H13">
            <v>188</v>
          </cell>
          <cell r="I13">
            <v>1679</v>
          </cell>
          <cell r="J13">
            <v>1009</v>
          </cell>
          <cell r="K13">
            <v>1258</v>
          </cell>
        </row>
        <row r="14">
          <cell r="A14" t="str">
            <v>PrvniRez_URO</v>
          </cell>
          <cell r="B14" t="str">
            <v>PrvniRez</v>
          </cell>
          <cell r="C14" t="str">
            <v>URO</v>
          </cell>
          <cell r="D14">
            <v>409</v>
          </cell>
          <cell r="E14">
            <v>432</v>
          </cell>
          <cell r="F14">
            <v>442</v>
          </cell>
          <cell r="G14">
            <v>348</v>
          </cell>
          <cell r="H14">
            <v>10</v>
          </cell>
          <cell r="I14">
            <v>35</v>
          </cell>
          <cell r="J14">
            <v>32</v>
          </cell>
          <cell r="K14">
            <v>28</v>
          </cell>
        </row>
        <row r="15">
          <cell r="A15" t="str">
            <v>PrvniRez_fnol</v>
          </cell>
          <cell r="B15" t="str">
            <v>PrvniRez</v>
          </cell>
          <cell r="C15" t="str">
            <v>fnol</v>
          </cell>
          <cell r="D15">
            <v>3812</v>
          </cell>
          <cell r="E15">
            <v>4390</v>
          </cell>
          <cell r="F15">
            <v>5281</v>
          </cell>
          <cell r="G15">
            <v>4831</v>
          </cell>
          <cell r="H15">
            <v>157</v>
          </cell>
          <cell r="I15">
            <v>547</v>
          </cell>
          <cell r="J15">
            <v>443</v>
          </cell>
          <cell r="K15">
            <v>398</v>
          </cell>
        </row>
        <row r="16">
          <cell r="A16" t="str">
            <v>PozdniKonecPCT_fnol</v>
          </cell>
          <cell r="B16" t="str">
            <v>PozdniKonecPCT</v>
          </cell>
          <cell r="C16" t="str">
            <v>fnol</v>
          </cell>
          <cell r="D16">
            <v>22.29</v>
          </cell>
          <cell r="E16">
            <v>23.75</v>
          </cell>
          <cell r="F16">
            <v>21.11</v>
          </cell>
          <cell r="G16">
            <v>21.08</v>
          </cell>
          <cell r="H16">
            <v>23.71</v>
          </cell>
          <cell r="I16">
            <v>21.49</v>
          </cell>
          <cell r="J16">
            <v>17.77</v>
          </cell>
          <cell r="K16">
            <v>18.98</v>
          </cell>
        </row>
        <row r="17">
          <cell r="A17" t="str">
            <v>PozdniKonecPCT_URO</v>
          </cell>
          <cell r="B17" t="str">
            <v>PozdniKonecPCT</v>
          </cell>
          <cell r="C17" t="str">
            <v>URO</v>
          </cell>
          <cell r="D17">
            <v>15.47</v>
          </cell>
          <cell r="E17">
            <v>24.19</v>
          </cell>
          <cell r="F17">
            <v>17.48</v>
          </cell>
          <cell r="G17">
            <v>16.7</v>
          </cell>
          <cell r="H17">
            <v>28.57</v>
          </cell>
          <cell r="I17">
            <v>24.44</v>
          </cell>
          <cell r="J17">
            <v>18.420000000000002</v>
          </cell>
          <cell r="K17">
            <v>16.670000000000002</v>
          </cell>
        </row>
        <row r="18">
          <cell r="A18" t="str">
            <v>PozdniKonecMIN_fnol</v>
          </cell>
          <cell r="B18" t="str">
            <v>PozdniKonecMIN</v>
          </cell>
          <cell r="C18" t="str">
            <v>fnol</v>
          </cell>
          <cell r="D18">
            <v>48241</v>
          </cell>
          <cell r="E18">
            <v>57812</v>
          </cell>
          <cell r="F18">
            <v>68096</v>
          </cell>
          <cell r="G18">
            <v>61475</v>
          </cell>
          <cell r="H18">
            <v>1936</v>
          </cell>
          <cell r="I18">
            <v>6504</v>
          </cell>
          <cell r="J18">
            <v>4278</v>
          </cell>
          <cell r="K18">
            <v>4463</v>
          </cell>
        </row>
        <row r="19">
          <cell r="A19" t="str">
            <v>PozdniKonecMIN_URO</v>
          </cell>
          <cell r="B19" t="str">
            <v>PozdniKonecMIN</v>
          </cell>
          <cell r="C19" t="str">
            <v>URO</v>
          </cell>
          <cell r="D19">
            <v>1851</v>
          </cell>
          <cell r="E19">
            <v>4401</v>
          </cell>
          <cell r="F19">
            <v>3352</v>
          </cell>
          <cell r="G19">
            <v>3217</v>
          </cell>
          <cell r="H19">
            <v>126</v>
          </cell>
          <cell r="I19">
            <v>436</v>
          </cell>
          <cell r="J19">
            <v>350</v>
          </cell>
          <cell r="K19">
            <v>162</v>
          </cell>
        </row>
        <row r="20">
          <cell r="A20" t="str">
            <v>PozdniKonec_URO</v>
          </cell>
          <cell r="B20" t="str">
            <v>PozdniKonec</v>
          </cell>
          <cell r="C20" t="str">
            <v>URO</v>
          </cell>
          <cell r="D20">
            <v>69</v>
          </cell>
          <cell r="E20">
            <v>120</v>
          </cell>
          <cell r="F20">
            <v>86</v>
          </cell>
          <cell r="G20">
            <v>73</v>
          </cell>
          <cell r="H20">
            <v>4</v>
          </cell>
          <cell r="I20">
            <v>11</v>
          </cell>
          <cell r="J20">
            <v>7</v>
          </cell>
          <cell r="K20">
            <v>7</v>
          </cell>
        </row>
        <row r="21">
          <cell r="A21" t="str">
            <v>PozdniKonec_fnol</v>
          </cell>
          <cell r="B21" t="str">
            <v>PozdniKonec</v>
          </cell>
          <cell r="C21" t="str">
            <v>fnol</v>
          </cell>
          <cell r="D21">
            <v>976</v>
          </cell>
          <cell r="E21">
            <v>1240</v>
          </cell>
          <cell r="F21">
            <v>1450</v>
          </cell>
          <cell r="G21">
            <v>1294</v>
          </cell>
          <cell r="H21">
            <v>46</v>
          </cell>
          <cell r="I21">
            <v>144</v>
          </cell>
          <cell r="J21">
            <v>99</v>
          </cell>
          <cell r="K21">
            <v>100</v>
          </cell>
        </row>
        <row r="22">
          <cell r="A22" t="str">
            <v>PocetOperacnichDnu_fnol</v>
          </cell>
          <cell r="B22" t="str">
            <v>PocetOperacnichDnu</v>
          </cell>
          <cell r="C22" t="str">
            <v>fnol</v>
          </cell>
          <cell r="D22">
            <v>4378</v>
          </cell>
          <cell r="E22">
            <v>5220</v>
          </cell>
          <cell r="F22">
            <v>6868</v>
          </cell>
          <cell r="G22">
            <v>6139</v>
          </cell>
          <cell r="H22">
            <v>194</v>
          </cell>
          <cell r="I22">
            <v>670</v>
          </cell>
          <cell r="J22">
            <v>557</v>
          </cell>
          <cell r="K22">
            <v>527</v>
          </cell>
        </row>
        <row r="23">
          <cell r="A23" t="str">
            <v>PocetOperacnichDnu_URO</v>
          </cell>
          <cell r="B23" t="str">
            <v>PocetOperacnichDnu</v>
          </cell>
          <cell r="C23" t="str">
            <v>URO</v>
          </cell>
          <cell r="D23">
            <v>446</v>
          </cell>
          <cell r="E23">
            <v>496</v>
          </cell>
          <cell r="F23">
            <v>492</v>
          </cell>
          <cell r="G23">
            <v>437</v>
          </cell>
          <cell r="H23">
            <v>14</v>
          </cell>
          <cell r="I23">
            <v>45</v>
          </cell>
          <cell r="J23">
            <v>38</v>
          </cell>
          <cell r="K23">
            <v>42</v>
          </cell>
        </row>
        <row r="24">
          <cell r="A24" t="str">
            <v>NavozPoPCT_URO</v>
          </cell>
          <cell r="B24" t="str">
            <v>NavozPoPCT</v>
          </cell>
          <cell r="C24" t="str">
            <v>URO</v>
          </cell>
          <cell r="D24">
            <v>71.75</v>
          </cell>
          <cell r="E24">
            <v>70.36</v>
          </cell>
          <cell r="F24">
            <v>72.36</v>
          </cell>
          <cell r="G24">
            <v>57.44</v>
          </cell>
          <cell r="H24">
            <v>57.14</v>
          </cell>
          <cell r="I24">
            <v>62.22</v>
          </cell>
          <cell r="J24">
            <v>63.16</v>
          </cell>
          <cell r="K24">
            <v>50</v>
          </cell>
        </row>
        <row r="25">
          <cell r="A25" t="str">
            <v>NavozPoPCT_fnol</v>
          </cell>
          <cell r="B25" t="str">
            <v>NavozPoPCT</v>
          </cell>
          <cell r="C25" t="str">
            <v>fnol</v>
          </cell>
          <cell r="D25">
            <v>67.34</v>
          </cell>
          <cell r="E25">
            <v>62.97</v>
          </cell>
          <cell r="F25">
            <v>58.71</v>
          </cell>
          <cell r="G25">
            <v>60.12</v>
          </cell>
          <cell r="H25">
            <v>59.28</v>
          </cell>
          <cell r="I25">
            <v>63.58</v>
          </cell>
          <cell r="J25">
            <v>59.25</v>
          </cell>
          <cell r="K25">
            <v>58.44</v>
          </cell>
        </row>
        <row r="26">
          <cell r="A26" t="str">
            <v>NavozPoMIN_fnol</v>
          </cell>
          <cell r="B26" t="str">
            <v>NavozPoMIN</v>
          </cell>
          <cell r="C26" t="str">
            <v>fnol</v>
          </cell>
          <cell r="D26">
            <v>181299</v>
          </cell>
          <cell r="E26">
            <v>155935</v>
          </cell>
          <cell r="F26">
            <v>203444</v>
          </cell>
          <cell r="G26">
            <v>187603</v>
          </cell>
          <cell r="H26">
            <v>6249</v>
          </cell>
          <cell r="I26">
            <v>20246</v>
          </cell>
          <cell r="J26">
            <v>15301</v>
          </cell>
          <cell r="K26">
            <v>18815</v>
          </cell>
        </row>
        <row r="27">
          <cell r="A27" t="str">
            <v>NavozPoMIN_URO</v>
          </cell>
          <cell r="B27" t="str">
            <v>NavozPoMIN</v>
          </cell>
          <cell r="C27" t="str">
            <v>URO</v>
          </cell>
          <cell r="D27">
            <v>21851</v>
          </cell>
          <cell r="E27">
            <v>17910</v>
          </cell>
          <cell r="F27">
            <v>10803</v>
          </cell>
          <cell r="G27">
            <v>9774</v>
          </cell>
          <cell r="H27">
            <v>149</v>
          </cell>
          <cell r="I27">
            <v>1698</v>
          </cell>
          <cell r="J27">
            <v>822</v>
          </cell>
          <cell r="K27">
            <v>1202</v>
          </cell>
        </row>
        <row r="28">
          <cell r="A28" t="str">
            <v>NavozPo_URO</v>
          </cell>
          <cell r="B28" t="str">
            <v>NavozPo</v>
          </cell>
          <cell r="C28" t="str">
            <v>URO</v>
          </cell>
          <cell r="D28">
            <v>320</v>
          </cell>
          <cell r="E28">
            <v>349</v>
          </cell>
          <cell r="F28">
            <v>356</v>
          </cell>
          <cell r="G28">
            <v>251</v>
          </cell>
          <cell r="H28">
            <v>8</v>
          </cell>
          <cell r="I28">
            <v>28</v>
          </cell>
          <cell r="J28">
            <v>24</v>
          </cell>
          <cell r="K28">
            <v>21</v>
          </cell>
        </row>
        <row r="29">
          <cell r="A29" t="str">
            <v>NavozPo_fnol</v>
          </cell>
          <cell r="B29" t="str">
            <v>NavozPo</v>
          </cell>
          <cell r="C29" t="str">
            <v>fnol</v>
          </cell>
          <cell r="D29">
            <v>2948</v>
          </cell>
          <cell r="E29">
            <v>3287</v>
          </cell>
          <cell r="F29">
            <v>4032</v>
          </cell>
          <cell r="G29">
            <v>3691</v>
          </cell>
          <cell r="H29">
            <v>115</v>
          </cell>
          <cell r="I29">
            <v>426</v>
          </cell>
          <cell r="J29">
            <v>330</v>
          </cell>
          <cell r="K29">
            <v>308</v>
          </cell>
        </row>
        <row r="30">
          <cell r="A30" t="str">
            <v>DrivejsiKonecPCT_fnol</v>
          </cell>
          <cell r="B30" t="str">
            <v>DrivejsiKonecPCT</v>
          </cell>
          <cell r="C30" t="str">
            <v>fnol</v>
          </cell>
          <cell r="D30">
            <v>77.75</v>
          </cell>
          <cell r="E30">
            <v>76.36</v>
          </cell>
          <cell r="F30">
            <v>79.08</v>
          </cell>
          <cell r="G30">
            <v>79.13</v>
          </cell>
          <cell r="H30">
            <v>76.290000000000006</v>
          </cell>
          <cell r="I30">
            <v>78.66</v>
          </cell>
          <cell r="J30">
            <v>82.76</v>
          </cell>
          <cell r="K30">
            <v>81.59</v>
          </cell>
        </row>
        <row r="31">
          <cell r="A31" t="str">
            <v>DrivejsiKonecPCT_URO</v>
          </cell>
          <cell r="B31" t="str">
            <v>DrivejsiKonecPCT</v>
          </cell>
          <cell r="C31" t="str">
            <v>URO</v>
          </cell>
          <cell r="D31">
            <v>84.75</v>
          </cell>
          <cell r="E31">
            <v>76.010000000000005</v>
          </cell>
          <cell r="F31">
            <v>82.52</v>
          </cell>
          <cell r="G31">
            <v>83.3</v>
          </cell>
          <cell r="H31">
            <v>71.430000000000007</v>
          </cell>
          <cell r="I31">
            <v>75.56</v>
          </cell>
          <cell r="J31">
            <v>81.58</v>
          </cell>
          <cell r="K31">
            <v>83.33</v>
          </cell>
        </row>
        <row r="32">
          <cell r="A32" t="str">
            <v>DrivejsiKonecMIN_fnol</v>
          </cell>
          <cell r="B32" t="str">
            <v>DrivejsiKonecMIN</v>
          </cell>
          <cell r="C32" t="str">
            <v>fnol</v>
          </cell>
          <cell r="D32">
            <v>389243</v>
          </cell>
          <cell r="E32">
            <v>383599</v>
          </cell>
          <cell r="F32">
            <v>554850</v>
          </cell>
          <cell r="G32">
            <v>514101</v>
          </cell>
          <cell r="H32">
            <v>15894</v>
          </cell>
          <cell r="I32">
            <v>52086</v>
          </cell>
          <cell r="J32">
            <v>50761</v>
          </cell>
          <cell r="K32">
            <v>56369</v>
          </cell>
        </row>
        <row r="33">
          <cell r="A33" t="str">
            <v>DrivejsiKonecMIN_URO</v>
          </cell>
          <cell r="B33" t="str">
            <v>DrivejsiKonecMIN</v>
          </cell>
          <cell r="C33" t="str">
            <v>URO</v>
          </cell>
          <cell r="D33">
            <v>34794</v>
          </cell>
          <cell r="E33">
            <v>26404</v>
          </cell>
          <cell r="F33">
            <v>28839</v>
          </cell>
          <cell r="G33">
            <v>27054</v>
          </cell>
          <cell r="H33">
            <v>962</v>
          </cell>
          <cell r="I33">
            <v>2635</v>
          </cell>
          <cell r="J33">
            <v>2274</v>
          </cell>
          <cell r="K33">
            <v>2398</v>
          </cell>
        </row>
        <row r="34">
          <cell r="A34" t="str">
            <v>DrivejsiKonec_fnol</v>
          </cell>
          <cell r="B34" t="str">
            <v>DrivejsiKonec</v>
          </cell>
          <cell r="C34" t="str">
            <v>fnol</v>
          </cell>
          <cell r="D34">
            <v>3404</v>
          </cell>
          <cell r="E34">
            <v>3986</v>
          </cell>
          <cell r="F34">
            <v>5431</v>
          </cell>
          <cell r="G34">
            <v>4858</v>
          </cell>
          <cell r="H34">
            <v>148</v>
          </cell>
          <cell r="I34">
            <v>527</v>
          </cell>
          <cell r="J34">
            <v>461</v>
          </cell>
          <cell r="K34">
            <v>430</v>
          </cell>
        </row>
        <row r="35">
          <cell r="A35" t="str">
            <v>DrivejsiKonec_URO</v>
          </cell>
          <cell r="B35" t="str">
            <v>DrivejsiKonec</v>
          </cell>
          <cell r="C35" t="str">
            <v>URO</v>
          </cell>
          <cell r="D35">
            <v>378</v>
          </cell>
          <cell r="E35">
            <v>377</v>
          </cell>
          <cell r="F35">
            <v>406</v>
          </cell>
          <cell r="G35">
            <v>364</v>
          </cell>
          <cell r="H35">
            <v>10</v>
          </cell>
          <cell r="I35">
            <v>34</v>
          </cell>
          <cell r="J35">
            <v>31</v>
          </cell>
          <cell r="K35">
            <v>35</v>
          </cell>
        </row>
        <row r="36">
          <cell r="A36" t="str">
            <v>CelkemOperaci_URO</v>
          </cell>
          <cell r="B36" t="str">
            <v>CelkemOperaci</v>
          </cell>
          <cell r="C36" t="str">
            <v>URO</v>
          </cell>
          <cell r="D36">
            <v>1244</v>
          </cell>
          <cell r="E36">
            <v>1580</v>
          </cell>
          <cell r="F36">
            <v>1614</v>
          </cell>
          <cell r="G36">
            <v>1403</v>
          </cell>
          <cell r="H36">
            <v>48</v>
          </cell>
          <cell r="I36">
            <v>154</v>
          </cell>
          <cell r="J36">
            <v>120</v>
          </cell>
          <cell r="K36">
            <v>139</v>
          </cell>
        </row>
        <row r="37">
          <cell r="A37" t="str">
            <v>CelkemOperaci_fnol</v>
          </cell>
          <cell r="B37" t="str">
            <v>CelkemOperaci</v>
          </cell>
          <cell r="C37" t="str">
            <v>fnol</v>
          </cell>
          <cell r="D37">
            <v>12523</v>
          </cell>
          <cell r="E37">
            <v>16638</v>
          </cell>
          <cell r="F37">
            <v>24083</v>
          </cell>
          <cell r="G37">
            <v>21172</v>
          </cell>
          <cell r="H37">
            <v>692</v>
          </cell>
          <cell r="I37">
            <v>2385</v>
          </cell>
          <cell r="J37">
            <v>1898</v>
          </cell>
          <cell r="K37">
            <v>1633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84B2C-1098-4C38-907C-7404C7BBB70C}">
  <dimension ref="A1:J80"/>
  <sheetViews>
    <sheetView tabSelected="1" zoomScale="85" zoomScaleNormal="85" workbookViewId="0">
      <selection activeCell="M16" sqref="M16"/>
    </sheetView>
  </sheetViews>
  <sheetFormatPr defaultRowHeight="14.4" x14ac:dyDescent="0.3"/>
  <cols>
    <col min="1" max="1" width="27.6640625" customWidth="1"/>
    <col min="2" max="2" width="5.6640625" customWidth="1"/>
    <col min="3" max="10" width="11.5546875" customWidth="1"/>
  </cols>
  <sheetData>
    <row r="1" spans="1:10" ht="15" thickBot="1" x14ac:dyDescent="0.35"/>
    <row r="2" spans="1:10" ht="15" thickBot="1" x14ac:dyDescent="0.35">
      <c r="A2" s="12" t="str">
        <f>DATA!B1</f>
        <v>popis</v>
      </c>
      <c r="B2" s="14" t="str">
        <f>DATA!C1</f>
        <v>fnol</v>
      </c>
      <c r="C2" s="75" t="str">
        <f>CONCATENATE("Rok ",DATA!D1)</f>
        <v>Rok 2020</v>
      </c>
      <c r="D2" s="75" t="str">
        <f>CONCATENATE("Rok ",DATA!E1)</f>
        <v>Rok 2021</v>
      </c>
      <c r="E2" s="75" t="str">
        <f>CONCATENATE("Rok ",DATA!F1)</f>
        <v>Rok 2022</v>
      </c>
      <c r="F2" s="75" t="str">
        <f>CONCATENATE("Rok ",DATA!G1)</f>
        <v>Rok 2023</v>
      </c>
      <c r="G2" s="73" t="str">
        <f ca="1">DATA!P1</f>
        <v>prosinec 2024</v>
      </c>
      <c r="H2" s="72" t="str">
        <f ca="1">DATA!P2</f>
        <v>listopad 2024</v>
      </c>
      <c r="I2" s="72" t="str">
        <f ca="1">DATA!P3</f>
        <v>říjen 2024</v>
      </c>
      <c r="J2" s="74" t="str">
        <f ca="1">DATA!P4</f>
        <v>září 2024</v>
      </c>
    </row>
    <row r="3" spans="1:10" x14ac:dyDescent="0.3">
      <c r="A3" s="5" t="str">
        <f>VLOOKUP("UtilizaceRezu_FNOL",DATA!$A:$K,2,0)</f>
        <v>UtilizaceRezu</v>
      </c>
      <c r="B3" s="15" t="str">
        <f>VLOOKUP("UtilizaceRezu_FNOL",DATA!$A:$K,3,0)</f>
        <v>fnol</v>
      </c>
      <c r="C3" s="89">
        <f>VLOOKUP("UtilizaceRezu_FNOL",DATA!$A:$K,4,0)</f>
        <v>43.1</v>
      </c>
      <c r="D3" s="89">
        <f>VLOOKUP("UtilizaceRezu_FNOL",DATA!$A:$K,5,0)</f>
        <v>41.78</v>
      </c>
      <c r="E3" s="89">
        <f>VLOOKUP("UtilizaceRezu_FNOL",DATA!$A:$K,6,0)</f>
        <v>44.9</v>
      </c>
      <c r="F3" s="89">
        <f>VLOOKUP("UtilizaceRezu_FNOL",DATA!$A:$K,7,0)</f>
        <v>43.6</v>
      </c>
      <c r="G3" s="90">
        <f>VLOOKUP("UtilizaceRezu_FNOL",DATA!$A:$K,8,0)</f>
        <v>42.92</v>
      </c>
      <c r="H3" s="89">
        <f>VLOOKUP("UtilizaceRezu_FNOL",DATA!$A:$K,9,0)</f>
        <v>42.36</v>
      </c>
      <c r="I3" s="89">
        <f>VLOOKUP("UtilizaceRezu_FNOL",DATA!$A:$K,10,0)</f>
        <v>42.73</v>
      </c>
      <c r="J3" s="91">
        <f>VLOOKUP("UtilizaceRezu_FNOL",DATA!$A:$K,11,0)</f>
        <v>42.5</v>
      </c>
    </row>
    <row r="4" spans="1:10" ht="15" thickBot="1" x14ac:dyDescent="0.35">
      <c r="A4" s="92" t="str">
        <f>VLOOKUP(CONCATENATE("UtilizaceRezu_",DATA!$U$1),DATA!$A:$K,2,0)</f>
        <v>UtilizaceRezu</v>
      </c>
      <c r="B4" s="93" t="str">
        <f>VLOOKUP(CONCATENATE("UtilizaceRezu_",DATA!$U$1),DATA!$A:$K,3,0)</f>
        <v>1.CH</v>
      </c>
      <c r="C4" s="94">
        <f>VLOOKUP(CONCATENATE("UtilizaceRezu_",DATA!$U$1),DATA!$A:$K,4,0)</f>
        <v>45.07</v>
      </c>
      <c r="D4" s="94">
        <f>VLOOKUP(CONCATENATE("UtilizaceRezu_",DATA!$U$1),DATA!$A:$K,5,0)</f>
        <v>47.47</v>
      </c>
      <c r="E4" s="94">
        <f>VLOOKUP(CONCATENATE("UtilizaceRezu_",DATA!$U$1),DATA!$A:$K,6,0)</f>
        <v>47.42</v>
      </c>
      <c r="F4" s="94">
        <f>VLOOKUP(CONCATENATE("UtilizaceRezu_",DATA!$U$1),DATA!$A:$K,7,0)</f>
        <v>47.62</v>
      </c>
      <c r="G4" s="95">
        <f>VLOOKUP(CONCATENATE("UtilizaceRezu_",DATA!$U$1),DATA!$A:$K,8,0)</f>
        <v>44.15</v>
      </c>
      <c r="H4" s="94">
        <f>VLOOKUP(CONCATENATE("UtilizaceRezu_",DATA!$U$1),DATA!$A:$K,9,0)</f>
        <v>47.71</v>
      </c>
      <c r="I4" s="94">
        <f>VLOOKUP(CONCATENATE("UtilizaceRezu_",DATA!$U$1),DATA!$A:$K,10,0)</f>
        <v>44.78</v>
      </c>
      <c r="J4" s="96">
        <f>VLOOKUP(CONCATENATE("UtilizaceRezu_",DATA!$U$1),DATA!$A:$K,11,0)</f>
        <v>47.35</v>
      </c>
    </row>
    <row r="23" spans="1:10" x14ac:dyDescent="0.3">
      <c r="B23" s="139" t="s">
        <v>17</v>
      </c>
      <c r="C23" s="139"/>
      <c r="D23" s="139"/>
      <c r="E23" s="139"/>
      <c r="F23" s="139"/>
      <c r="G23" s="139"/>
      <c r="H23" s="139"/>
    </row>
    <row r="24" spans="1:10" ht="15" customHeight="1" x14ac:dyDescent="0.3">
      <c r="B24" s="138" t="s">
        <v>18</v>
      </c>
      <c r="C24" s="138"/>
      <c r="D24" s="138"/>
      <c r="E24" s="138"/>
      <c r="F24" s="138"/>
      <c r="G24" s="138"/>
      <c r="H24" s="138"/>
    </row>
    <row r="25" spans="1:10" x14ac:dyDescent="0.3">
      <c r="B25" s="138"/>
      <c r="C25" s="138"/>
      <c r="D25" s="138"/>
      <c r="E25" s="138"/>
      <c r="F25" s="138"/>
      <c r="G25" s="138"/>
      <c r="H25" s="138"/>
    </row>
    <row r="26" spans="1:10" ht="15" thickBot="1" x14ac:dyDescent="0.35"/>
    <row r="27" spans="1:10" ht="15" thickBot="1" x14ac:dyDescent="0.35">
      <c r="A27" s="39" t="str">
        <f>A2</f>
        <v>popis</v>
      </c>
      <c r="B27" s="26" t="str">
        <f t="shared" ref="B27:J27" si="0">B2</f>
        <v>fnol</v>
      </c>
      <c r="C27" s="75" t="str">
        <f t="shared" si="0"/>
        <v>Rok 2020</v>
      </c>
      <c r="D27" s="75" t="str">
        <f t="shared" si="0"/>
        <v>Rok 2021</v>
      </c>
      <c r="E27" s="75" t="str">
        <f t="shared" si="0"/>
        <v>Rok 2022</v>
      </c>
      <c r="F27" s="75" t="str">
        <f t="shared" si="0"/>
        <v>Rok 2023</v>
      </c>
      <c r="G27" s="73" t="str">
        <f t="shared" ca="1" si="0"/>
        <v>prosinec 2024</v>
      </c>
      <c r="H27" s="72" t="str">
        <f t="shared" ca="1" si="0"/>
        <v>listopad 2024</v>
      </c>
      <c r="I27" s="72" t="str">
        <f t="shared" ca="1" si="0"/>
        <v>říjen 2024</v>
      </c>
      <c r="J27" s="74" t="str">
        <f t="shared" ca="1" si="0"/>
        <v>září 2024</v>
      </c>
    </row>
    <row r="28" spans="1:10" x14ac:dyDescent="0.3">
      <c r="A28" s="53" t="str">
        <f>VLOOKUP("UtilizaceAnesteziologicka_FNOL",DATA!$A:$K,2,0)</f>
        <v>UtilizaceAnesteziologicka</v>
      </c>
      <c r="B28" s="58" t="str">
        <f>VLOOKUP("UtilizaceAnesteziologicka_FNOL",DATA!$A:$K,3,0)</f>
        <v>fnol</v>
      </c>
      <c r="C28" s="52">
        <f>VLOOKUP("UtilizaceAnesteziologicka_FNOL",DATA!$A:$K,4,0)</f>
        <v>15.72</v>
      </c>
      <c r="D28" s="52">
        <f>VLOOKUP("UtilizaceAnesteziologicka_FNOL",DATA!$A:$K,5,0)</f>
        <v>14.97</v>
      </c>
      <c r="E28" s="52">
        <f>VLOOKUP("UtilizaceAnesteziologicka_FNOL",DATA!$A:$K,6,0)</f>
        <v>17.100000000000001</v>
      </c>
      <c r="F28" s="52">
        <f>VLOOKUP("UtilizaceAnesteziologicka_FNOL",DATA!$A:$K,7,0)</f>
        <v>16.03</v>
      </c>
      <c r="G28" s="60">
        <f>VLOOKUP("UtilizaceAnesteziologicka_FNOL",DATA!$A:$K,8,0)</f>
        <v>15.57</v>
      </c>
      <c r="H28" s="52">
        <f>VLOOKUP("UtilizaceAnesteziologicka_FNOL",DATA!$A:$K,9,0)</f>
        <v>18.16</v>
      </c>
      <c r="I28" s="52">
        <f>VLOOKUP("UtilizaceAnesteziologicka_FNOL",DATA!$A:$K,10,0)</f>
        <v>17.46</v>
      </c>
      <c r="J28" s="54">
        <f>VLOOKUP("UtilizaceAnesteziologicka_FNOL",DATA!$A:$K,11,0)</f>
        <v>16.47</v>
      </c>
    </row>
    <row r="29" spans="1:10" ht="15" thickBot="1" x14ac:dyDescent="0.35">
      <c r="A29" s="55" t="str">
        <f>VLOOKUP(CONCATENATE("UtilizaceAnesteziologicka_",DATA!$U$1),DATA!$A:$K,2,0)</f>
        <v>UtilizaceAnesteziologicka</v>
      </c>
      <c r="B29" s="59" t="str">
        <f>VLOOKUP(CONCATENATE("UtilizaceAnesteziologicka_",DATA!$U$1),DATA!$A:$K,3,0)</f>
        <v>1.CH</v>
      </c>
      <c r="C29" s="56">
        <f>VLOOKUP(CONCATENATE("UtilizaceAnesteziologicka_",DATA!$U$1),DATA!$A:$K,4,0)</f>
        <v>18.57</v>
      </c>
      <c r="D29" s="56">
        <f>VLOOKUP(CONCATENATE("UtilizaceAnesteziologicka_",DATA!$U$1),DATA!$A:$K,5,0)</f>
        <v>18.98</v>
      </c>
      <c r="E29" s="56">
        <f>VLOOKUP(CONCATENATE("UtilizaceAnesteziologicka_",DATA!$U$1),DATA!$A:$K,6,0)</f>
        <v>20.64</v>
      </c>
      <c r="F29" s="56">
        <f>VLOOKUP(CONCATENATE("UtilizaceAnesteziologicka_",DATA!$U$1),DATA!$A:$K,7,0)</f>
        <v>21.11</v>
      </c>
      <c r="G29" s="61">
        <f>VLOOKUP(CONCATENATE("UtilizaceAnesteziologicka_",DATA!$U$1),DATA!$A:$K,8,0)</f>
        <v>17</v>
      </c>
      <c r="H29" s="56">
        <f>VLOOKUP(CONCATENATE("UtilizaceAnesteziologicka_",DATA!$U$1),DATA!$A:$K,9,0)</f>
        <v>20.7</v>
      </c>
      <c r="I29" s="56">
        <f>VLOOKUP(CONCATENATE("UtilizaceAnesteziologicka_",DATA!$U$1),DATA!$A:$K,10,0)</f>
        <v>22.31</v>
      </c>
      <c r="J29" s="57">
        <f>VLOOKUP(CONCATENATE("UtilizaceAnesteziologicka_",DATA!$U$1),DATA!$A:$K,11,0)</f>
        <v>27.52</v>
      </c>
    </row>
    <row r="48" spans="2:8" x14ac:dyDescent="0.3">
      <c r="B48" s="139" t="s">
        <v>19</v>
      </c>
      <c r="C48" s="139"/>
      <c r="D48" s="139"/>
      <c r="E48" s="139"/>
      <c r="F48" s="139"/>
      <c r="G48" s="139"/>
      <c r="H48" s="139"/>
    </row>
    <row r="49" spans="1:10" x14ac:dyDescent="0.3">
      <c r="B49" s="139" t="s">
        <v>20</v>
      </c>
      <c r="C49" s="139"/>
      <c r="D49" s="139"/>
      <c r="E49" s="139"/>
      <c r="F49" s="139"/>
      <c r="G49" s="139"/>
      <c r="H49" s="139"/>
    </row>
    <row r="50" spans="1:10" x14ac:dyDescent="0.3">
      <c r="B50" s="139" t="s">
        <v>23</v>
      </c>
      <c r="C50" s="139"/>
      <c r="D50" s="139"/>
      <c r="E50" s="139"/>
      <c r="F50" s="139"/>
      <c r="G50" s="139"/>
      <c r="H50" s="139"/>
    </row>
    <row r="51" spans="1:10" ht="15" thickBot="1" x14ac:dyDescent="0.35"/>
    <row r="52" spans="1:10" ht="15" thickBot="1" x14ac:dyDescent="0.35">
      <c r="A52" s="39" t="str">
        <f>A2</f>
        <v>popis</v>
      </c>
      <c r="B52" s="26" t="str">
        <f t="shared" ref="B52:J52" si="1">B2</f>
        <v>fnol</v>
      </c>
      <c r="C52" s="75" t="str">
        <f t="shared" si="1"/>
        <v>Rok 2020</v>
      </c>
      <c r="D52" s="75" t="str">
        <f t="shared" si="1"/>
        <v>Rok 2021</v>
      </c>
      <c r="E52" s="75" t="str">
        <f t="shared" si="1"/>
        <v>Rok 2022</v>
      </c>
      <c r="F52" s="75" t="str">
        <f t="shared" si="1"/>
        <v>Rok 2023</v>
      </c>
      <c r="G52" s="73" t="str">
        <f t="shared" ca="1" si="1"/>
        <v>prosinec 2024</v>
      </c>
      <c r="H52" s="72" t="str">
        <f t="shared" ca="1" si="1"/>
        <v>listopad 2024</v>
      </c>
      <c r="I52" s="72" t="str">
        <f t="shared" ca="1" si="1"/>
        <v>říjen 2024</v>
      </c>
      <c r="J52" s="74" t="str">
        <f t="shared" ca="1" si="1"/>
        <v>září 2024</v>
      </c>
    </row>
    <row r="53" spans="1:10" x14ac:dyDescent="0.3">
      <c r="A53" s="62" t="str">
        <f>VLOOKUP("UtilizaceChirurgicka_FNOL",DATA!$A:$K,2,0)</f>
        <v>UtilizaceChirurgicka</v>
      </c>
      <c r="B53" s="63" t="str">
        <f>VLOOKUP("UtilizaceChirurgicka_FNOL",DATA!$A:$K,3,0)</f>
        <v>fnol</v>
      </c>
      <c r="C53" s="64">
        <f>VLOOKUP("UtilizaceChirurgicka_FNOL",DATA!$A:$K,4,0)</f>
        <v>50.14</v>
      </c>
      <c r="D53" s="64">
        <f>VLOOKUP("UtilizaceChirurgicka_FNOL",DATA!$A:$K,5,0)</f>
        <v>48.51</v>
      </c>
      <c r="E53" s="64">
        <f>VLOOKUP("UtilizaceChirurgicka_FNOL",DATA!$A:$K,6,0)</f>
        <v>51.67</v>
      </c>
      <c r="F53" s="64">
        <f>VLOOKUP("UtilizaceChirurgicka_FNOL",DATA!$A:$K,7,0)</f>
        <v>50.17</v>
      </c>
      <c r="G53" s="65">
        <f>VLOOKUP("UtilizaceChirurgicka_FNOL",DATA!$A:$K,8,0)</f>
        <v>49.85</v>
      </c>
      <c r="H53" s="64">
        <f>VLOOKUP("UtilizaceChirurgicka_FNOL",DATA!$A:$K,9,0)</f>
        <v>50.3</v>
      </c>
      <c r="I53" s="64">
        <f>VLOOKUP("UtilizaceChirurgicka_FNOL",DATA!$A:$K,10,0)</f>
        <v>49.96</v>
      </c>
      <c r="J53" s="66">
        <f>VLOOKUP("UtilizaceChirurgicka_FNOL",DATA!$A:$K,11,0)</f>
        <v>48.38</v>
      </c>
    </row>
    <row r="54" spans="1:10" ht="15" thickBot="1" x14ac:dyDescent="0.35">
      <c r="A54" s="67" t="str">
        <f>VLOOKUP(CONCATENATE("UtilizaceChirurgicka_",DATA!$U$1),DATA!$A:$K,2,0)</f>
        <v>UtilizaceChirurgicka</v>
      </c>
      <c r="B54" s="68" t="str">
        <f>VLOOKUP(CONCATENATE("UtilizaceChirurgicka_",DATA!$U$1),DATA!$A:$K,3,0)</f>
        <v>1.CH</v>
      </c>
      <c r="C54" s="69">
        <f>VLOOKUP(CONCATENATE("UtilizaceChirurgicka_",DATA!$U$1),DATA!$A:$K,4,0)</f>
        <v>52.25</v>
      </c>
      <c r="D54" s="69">
        <f>VLOOKUP(CONCATENATE("UtilizaceChirurgicka_",DATA!$U$1),DATA!$A:$K,5,0)</f>
        <v>54.54</v>
      </c>
      <c r="E54" s="69">
        <f>VLOOKUP(CONCATENATE("UtilizaceChirurgicka_",DATA!$U$1),DATA!$A:$K,6,0)</f>
        <v>54.32</v>
      </c>
      <c r="F54" s="69">
        <f>VLOOKUP(CONCATENATE("UtilizaceChirurgicka_",DATA!$U$1),DATA!$A:$K,7,0)</f>
        <v>55.19</v>
      </c>
      <c r="G54" s="70">
        <f>VLOOKUP(CONCATENATE("UtilizaceChirurgicka_",DATA!$U$1),DATA!$A:$K,8,0)</f>
        <v>50.63</v>
      </c>
      <c r="H54" s="69">
        <f>VLOOKUP(CONCATENATE("UtilizaceChirurgicka_",DATA!$U$1),DATA!$A:$K,9,0)</f>
        <v>55.88</v>
      </c>
      <c r="I54" s="69">
        <f>VLOOKUP(CONCATENATE("UtilizaceChirurgicka_",DATA!$U$1),DATA!$A:$K,10,0)</f>
        <v>52.88</v>
      </c>
      <c r="J54" s="71">
        <f>VLOOKUP(CONCATENATE("UtilizaceChirurgicka_",DATA!$U$1),DATA!$A:$K,11,0)</f>
        <v>54.96</v>
      </c>
    </row>
    <row r="73" spans="1:10" x14ac:dyDescent="0.3">
      <c r="B73" s="138" t="s">
        <v>21</v>
      </c>
      <c r="C73" s="138"/>
      <c r="D73" s="138"/>
      <c r="E73" s="138"/>
      <c r="F73" s="138"/>
      <c r="G73" s="138"/>
      <c r="H73" s="138"/>
    </row>
    <row r="74" spans="1:10" x14ac:dyDescent="0.3">
      <c r="B74" s="138"/>
      <c r="C74" s="138"/>
      <c r="D74" s="138"/>
      <c r="E74" s="138"/>
      <c r="F74" s="138"/>
      <c r="G74" s="138"/>
      <c r="H74" s="138"/>
    </row>
    <row r="77" spans="1:10" ht="15" thickBot="1" x14ac:dyDescent="0.35"/>
    <row r="78" spans="1:10" ht="15" thickBot="1" x14ac:dyDescent="0.35">
      <c r="A78" s="39" t="str">
        <f>A2</f>
        <v>popis</v>
      </c>
      <c r="B78" s="26" t="str">
        <f t="shared" ref="B78:J78" si="2">B2</f>
        <v>fnol</v>
      </c>
      <c r="C78" s="75" t="str">
        <f t="shared" si="2"/>
        <v>Rok 2020</v>
      </c>
      <c r="D78" s="75" t="str">
        <f t="shared" si="2"/>
        <v>Rok 2021</v>
      </c>
      <c r="E78" s="75" t="str">
        <f t="shared" si="2"/>
        <v>Rok 2022</v>
      </c>
      <c r="F78" s="75" t="str">
        <f t="shared" si="2"/>
        <v>Rok 2023</v>
      </c>
      <c r="G78" s="73" t="str">
        <f t="shared" ca="1" si="2"/>
        <v>prosinec 2024</v>
      </c>
      <c r="H78" s="72" t="str">
        <f t="shared" ca="1" si="2"/>
        <v>listopad 2024</v>
      </c>
      <c r="I78" s="72" t="str">
        <f t="shared" ca="1" si="2"/>
        <v>říjen 2024</v>
      </c>
      <c r="J78" s="74" t="str">
        <f t="shared" ca="1" si="2"/>
        <v>září 2024</v>
      </c>
    </row>
    <row r="79" spans="1:10" x14ac:dyDescent="0.3">
      <c r="A79" s="79" t="str">
        <f>VLOOKUP("UtilizaceCelkova_FNOL",DATA!$A:$K,2,0)</f>
        <v>UtilizaceCelkova</v>
      </c>
      <c r="B79" s="80" t="str">
        <f>VLOOKUP("UtilizaceCelkova_FNOL",DATA!$A:$K,3,0)</f>
        <v>fnol</v>
      </c>
      <c r="C79" s="81">
        <f>VLOOKUP("UtilizaceCelkova_FNOL",DATA!$A:$K,4,0)</f>
        <v>68.25</v>
      </c>
      <c r="D79" s="81">
        <f>VLOOKUP("UtilizaceCelkova_FNOL",DATA!$A:$K,5,0)</f>
        <v>66.069999999999993</v>
      </c>
      <c r="E79" s="81">
        <f>VLOOKUP("UtilizaceCelkova_FNOL",DATA!$A:$K,6,0)</f>
        <v>70.040000000000006</v>
      </c>
      <c r="F79" s="81">
        <f>VLOOKUP("UtilizaceCelkova_FNOL",DATA!$A:$K,7,0)</f>
        <v>67.09</v>
      </c>
      <c r="G79" s="82">
        <f>VLOOKUP("UtilizaceCelkova_FNOL",DATA!$A:$K,8,0)</f>
        <v>68.41</v>
      </c>
      <c r="H79" s="81">
        <f>VLOOKUP("UtilizaceCelkova_FNOL",DATA!$A:$K,9,0)</f>
        <v>68.86</v>
      </c>
      <c r="I79" s="81">
        <f>VLOOKUP("UtilizaceCelkova_FNOL",DATA!$A:$K,10,0)</f>
        <v>68.03</v>
      </c>
      <c r="J79" s="83">
        <f>VLOOKUP("UtilizaceCelkova_FNOL",DATA!$A:$K,11,0)</f>
        <v>66.03</v>
      </c>
    </row>
    <row r="80" spans="1:10" ht="15" thickBot="1" x14ac:dyDescent="0.35">
      <c r="A80" s="84" t="str">
        <f>VLOOKUP(CONCATENATE("UtilizaceCelkova_",DATA!$U$1),DATA!$A:$K,2,0)</f>
        <v>UtilizaceCelkova</v>
      </c>
      <c r="B80" s="85" t="str">
        <f>VLOOKUP(CONCATENATE("UtilizaceCelkova_",DATA!$U$1),DATA!$A:$K,3,0)</f>
        <v>1.CH</v>
      </c>
      <c r="C80" s="86">
        <f>VLOOKUP(CONCATENATE("UtilizaceCelkova_",DATA!$U$1),DATA!$A:$K,4,0)</f>
        <v>76.3</v>
      </c>
      <c r="D80" s="86">
        <f>VLOOKUP(CONCATENATE("UtilizaceCelkova_",DATA!$U$1),DATA!$A:$K,5,0)</f>
        <v>78.680000000000007</v>
      </c>
      <c r="E80" s="86">
        <f>VLOOKUP(CONCATENATE("UtilizaceCelkova_",DATA!$U$1),DATA!$A:$K,6,0)</f>
        <v>79.05</v>
      </c>
      <c r="F80" s="86">
        <f>VLOOKUP(CONCATENATE("UtilizaceCelkova_",DATA!$U$1),DATA!$A:$K,7,0)</f>
        <v>81.2</v>
      </c>
      <c r="G80" s="87">
        <f>VLOOKUP(CONCATENATE("UtilizaceCelkova_",DATA!$U$1),DATA!$A:$K,8,0)</f>
        <v>73.510000000000005</v>
      </c>
      <c r="H80" s="86">
        <f>VLOOKUP(CONCATENATE("UtilizaceCelkova_",DATA!$U$1),DATA!$A:$K,9,0)</f>
        <v>81.87</v>
      </c>
      <c r="I80" s="86">
        <f>VLOOKUP(CONCATENATE("UtilizaceCelkova_",DATA!$U$1),DATA!$A:$K,10,0)</f>
        <v>80.489999999999995</v>
      </c>
      <c r="J80" s="88">
        <f>VLOOKUP(CONCATENATE("UtilizaceCelkova_",DATA!$U$1),DATA!$A:$K,11,0)</f>
        <v>81.66</v>
      </c>
    </row>
  </sheetData>
  <mergeCells count="6">
    <mergeCell ref="B73:H74"/>
    <mergeCell ref="B23:H23"/>
    <mergeCell ref="B24:H25"/>
    <mergeCell ref="B48:H48"/>
    <mergeCell ref="B49:H49"/>
    <mergeCell ref="B50:H50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2FEDA-EF1F-41A7-A8FB-0E1279E369E9}">
  <dimension ref="A5:J110"/>
  <sheetViews>
    <sheetView topLeftCell="A97" zoomScaleNormal="100" workbookViewId="0">
      <selection activeCell="M16" sqref="M16"/>
    </sheetView>
  </sheetViews>
  <sheetFormatPr defaultRowHeight="14.4" x14ac:dyDescent="0.3"/>
  <cols>
    <col min="1" max="1" width="27.6640625" customWidth="1"/>
    <col min="2" max="2" width="5.6640625" bestFit="1" customWidth="1"/>
    <col min="3" max="10" width="11.5546875" customWidth="1"/>
  </cols>
  <sheetData>
    <row r="5" spans="1:10" ht="15" thickBot="1" x14ac:dyDescent="0.35"/>
    <row r="6" spans="1:10" ht="15" thickBot="1" x14ac:dyDescent="0.35">
      <c r="A6" s="14" t="str">
        <f>strana1!A2</f>
        <v>popis</v>
      </c>
      <c r="B6" s="14" t="str">
        <f>strana1!B2</f>
        <v>fnol</v>
      </c>
      <c r="C6" s="13" t="str">
        <f>strana1!C2</f>
        <v>Rok 2020</v>
      </c>
      <c r="D6" s="13" t="str">
        <f>strana1!D2</f>
        <v>Rok 2021</v>
      </c>
      <c r="E6" s="13" t="str">
        <f>strana1!E2</f>
        <v>Rok 2022</v>
      </c>
      <c r="F6" s="13" t="str">
        <f>strana1!F2</f>
        <v>Rok 2023</v>
      </c>
      <c r="G6" s="73" t="str">
        <f ca="1">strana1!G2</f>
        <v>prosinec 2024</v>
      </c>
      <c r="H6" s="72" t="str">
        <f ca="1">strana1!H2</f>
        <v>listopad 2024</v>
      </c>
      <c r="I6" s="72" t="str">
        <f ca="1">strana1!I2</f>
        <v>říjen 2024</v>
      </c>
      <c r="J6" s="74" t="str">
        <f ca="1">strana1!J2</f>
        <v>září 2024</v>
      </c>
    </row>
    <row r="7" spans="1:10" x14ac:dyDescent="0.3">
      <c r="A7" s="29" t="s">
        <v>22</v>
      </c>
      <c r="B7" s="29" t="str">
        <f>DATA!U1</f>
        <v>1.CH</v>
      </c>
      <c r="C7" s="30" t="e">
        <f>C9/C11</f>
        <v>#N/A</v>
      </c>
      <c r="D7" s="30" t="e">
        <f t="shared" ref="D7:J7" si="0">D9/D11</f>
        <v>#N/A</v>
      </c>
      <c r="E7" s="30" t="e">
        <f t="shared" si="0"/>
        <v>#N/A</v>
      </c>
      <c r="F7" s="30" t="e">
        <f t="shared" si="0"/>
        <v>#N/A</v>
      </c>
      <c r="G7" s="36" t="e">
        <f t="shared" si="0"/>
        <v>#N/A</v>
      </c>
      <c r="H7" s="30" t="e">
        <f t="shared" si="0"/>
        <v>#N/A</v>
      </c>
      <c r="I7" s="30" t="e">
        <f t="shared" si="0"/>
        <v>#N/A</v>
      </c>
      <c r="J7" s="31" t="e">
        <f t="shared" si="0"/>
        <v>#N/A</v>
      </c>
    </row>
    <row r="8" spans="1:10" ht="15" thickBot="1" x14ac:dyDescent="0.35">
      <c r="A8" s="17" t="s">
        <v>22</v>
      </c>
      <c r="B8" s="17" t="str">
        <f>DATA!U2</f>
        <v>FNOL</v>
      </c>
      <c r="C8" s="32" t="e">
        <f>C10/C12</f>
        <v>#N/A</v>
      </c>
      <c r="D8" s="32" t="e">
        <f t="shared" ref="D8:J8" si="1">D10/D12</f>
        <v>#N/A</v>
      </c>
      <c r="E8" s="32" t="e">
        <f t="shared" si="1"/>
        <v>#N/A</v>
      </c>
      <c r="F8" s="32" t="e">
        <f t="shared" si="1"/>
        <v>#N/A</v>
      </c>
      <c r="G8" s="37" t="e">
        <f t="shared" si="1"/>
        <v>#N/A</v>
      </c>
      <c r="H8" s="32" t="e">
        <f t="shared" si="1"/>
        <v>#N/A</v>
      </c>
      <c r="I8" s="32" t="e">
        <f t="shared" si="1"/>
        <v>#N/A</v>
      </c>
      <c r="J8" s="33" t="e">
        <f t="shared" si="1"/>
        <v>#N/A</v>
      </c>
    </row>
    <row r="9" spans="1:10" x14ac:dyDescent="0.3">
      <c r="A9" s="15" t="e">
        <f>VLOOKUP(CONCATENATE("PozdniNavozMinuty_",DATA!$U$1),DATA!$A:$K,2,0)</f>
        <v>#N/A</v>
      </c>
      <c r="B9" s="15" t="e">
        <f>VLOOKUP(CONCATENATE("PozdniNavozMinuty_",DATA!$U$1),DATA!$A:$K,3,0)</f>
        <v>#N/A</v>
      </c>
      <c r="C9" s="3" t="e">
        <f>VLOOKUP(CONCATENATE("PozdniNavozMinuty_",DATA!$U$1),DATA!$A:$K,4,0)</f>
        <v>#N/A</v>
      </c>
      <c r="D9" s="3" t="e">
        <f>VLOOKUP(CONCATENATE("PozdniNavozMinuty_",DATA!$U$1),DATA!$A:$K,5,0)</f>
        <v>#N/A</v>
      </c>
      <c r="E9" s="3" t="e">
        <f>VLOOKUP(CONCATENATE("PozdniNavozMinuty_",DATA!$U$1),DATA!$A:$K,6,0)</f>
        <v>#N/A</v>
      </c>
      <c r="F9" s="3" t="e">
        <f>VLOOKUP(CONCATENATE("PozdniNavozMinuty_",DATA!$U$1),DATA!$A:$K,7,0)</f>
        <v>#N/A</v>
      </c>
      <c r="G9" s="5" t="e">
        <f>VLOOKUP(CONCATENATE("PozdniNavozMinuty_",DATA!$U$1),DATA!$A:$K,8,0)</f>
        <v>#N/A</v>
      </c>
      <c r="H9" s="3" t="e">
        <f>VLOOKUP(CONCATENATE("PozdniNavozMinuty_",DATA!$U$1),DATA!$A:$K,9,0)</f>
        <v>#N/A</v>
      </c>
      <c r="I9" s="3" t="e">
        <f>VLOOKUP(CONCATENATE("PozdniNavozMinuty_",DATA!$U$1),DATA!$A:$K,10,0)</f>
        <v>#N/A</v>
      </c>
      <c r="J9" s="7" t="e">
        <f>VLOOKUP(CONCATENATE("PozdniNavozMinuty_",DATA!$U$1),DATA!$A:$K,11,0)</f>
        <v>#N/A</v>
      </c>
    </row>
    <row r="10" spans="1:10" ht="15" thickBot="1" x14ac:dyDescent="0.35">
      <c r="A10" s="16" t="e">
        <f>VLOOKUP("PozdniNavozMinuty_FNOL",DATA!$A:$K,2,0)</f>
        <v>#N/A</v>
      </c>
      <c r="B10" s="16" t="e">
        <f>VLOOKUP("PozdniNavozMinuty_FNOL",DATA!$A:$K,3,0)</f>
        <v>#N/A</v>
      </c>
      <c r="C10" s="4" t="e">
        <f>VLOOKUP("PozdniNavozMinuty_FNOL",DATA!$A:$K,4,0)</f>
        <v>#N/A</v>
      </c>
      <c r="D10" s="4" t="e">
        <f>VLOOKUP("PozdniNavozMinuty_FNOL",DATA!$A:$K,5,0)</f>
        <v>#N/A</v>
      </c>
      <c r="E10" s="4" t="e">
        <f>VLOOKUP("PozdniNavozMinuty_FNOL",DATA!$A:$K,6,0)</f>
        <v>#N/A</v>
      </c>
      <c r="F10" s="4" t="e">
        <f>VLOOKUP("PozdniNavozMinuty_FNOL",DATA!$A:$K,7,0)</f>
        <v>#N/A</v>
      </c>
      <c r="G10" s="6" t="e">
        <f>VLOOKUP("PozdniNavozMinuty_FNOL",DATA!$A:$K,8,0)</f>
        <v>#N/A</v>
      </c>
      <c r="H10" s="4" t="e">
        <f>VLOOKUP("PozdniNavozMinuty_FNOL",DATA!$A:$K,9,0)</f>
        <v>#N/A</v>
      </c>
      <c r="I10" s="4" t="e">
        <f>VLOOKUP("PozdniNavozMinuty_FNOL",DATA!$A:$K,10,0)</f>
        <v>#N/A</v>
      </c>
      <c r="J10" s="8" t="e">
        <f>VLOOKUP("PozdniNavozMinuty_FNOL",DATA!$A:$K,11,0)</f>
        <v>#N/A</v>
      </c>
    </row>
    <row r="11" spans="1:10" x14ac:dyDescent="0.3">
      <c r="A11" s="29" t="e">
        <f>VLOOKUP(CONCATENATE("PozdniNavozPocetOperaci_",DATA!$U$1),DATA!$A:$K,2,0)</f>
        <v>#N/A</v>
      </c>
      <c r="B11" s="29" t="e">
        <f>VLOOKUP(CONCATENATE("PozdniNavozPocetOperaci_",DATA!$U$1),DATA!$A:$K,3,0)</f>
        <v>#N/A</v>
      </c>
      <c r="C11" s="34" t="e">
        <f>VLOOKUP(CONCATENATE("PozdniNavozPocetOperaci_",DATA!$U$1),DATA!$A:$K,4,0)</f>
        <v>#N/A</v>
      </c>
      <c r="D11" s="34" t="e">
        <f>VLOOKUP(CONCATENATE("PozdniNavozPocetOperaci_",DATA!$U$1),DATA!$A:$K,5,0)</f>
        <v>#N/A</v>
      </c>
      <c r="E11" s="34" t="e">
        <f>VLOOKUP(CONCATENATE("PozdniNavozPocetOperaci_",DATA!$U$1),DATA!$A:$K,6,0)</f>
        <v>#N/A</v>
      </c>
      <c r="F11" s="34" t="e">
        <f>VLOOKUP(CONCATENATE("PozdniNavozPocetOperaci_",DATA!$U$1),DATA!$A:$K,7,0)</f>
        <v>#N/A</v>
      </c>
      <c r="G11" s="38" t="e">
        <f>VLOOKUP(CONCATENATE("PozdniNavozPocetOperaci_",DATA!$U$1),DATA!$A:$K,8,0)</f>
        <v>#N/A</v>
      </c>
      <c r="H11" s="34" t="e">
        <f>VLOOKUP(CONCATENATE("PozdniNavozPocetOperaci_",DATA!$U$1),DATA!$A:$K,9,0)</f>
        <v>#N/A</v>
      </c>
      <c r="I11" s="34" t="e">
        <f>VLOOKUP(CONCATENATE("PozdniNavozPocetOperaci_",DATA!$U$1),DATA!$A:$K,10,0)</f>
        <v>#N/A</v>
      </c>
      <c r="J11" s="35" t="e">
        <f>VLOOKUP(CONCATENATE("PozdniNavozPocetOperaci_",DATA!$U$1),DATA!$A:$K,11,0)</f>
        <v>#N/A</v>
      </c>
    </row>
    <row r="12" spans="1:10" ht="15" thickBot="1" x14ac:dyDescent="0.35">
      <c r="A12" s="17" t="e">
        <f>VLOOKUP("PozdniNavozPocetOperaci_FNOL",DATA!$A:$K,2,0)</f>
        <v>#N/A</v>
      </c>
      <c r="B12" s="17" t="e">
        <f>VLOOKUP("PozdniNavozPocetOperaci_FNOL",DATA!$A:$K,3,0)</f>
        <v>#N/A</v>
      </c>
      <c r="C12" s="10" t="e">
        <f>VLOOKUP("PozdniNavozPocetOperaci_FNOL",DATA!$A:$K,4,0)</f>
        <v>#N/A</v>
      </c>
      <c r="D12" s="10" t="e">
        <f>VLOOKUP("PozdniNavozPocetOperaci_FNOL",DATA!$A:$K,5,0)</f>
        <v>#N/A</v>
      </c>
      <c r="E12" s="10" t="e">
        <f>VLOOKUP("PozdniNavozPocetOperaci_FNOL",DATA!$A:$K,6,0)</f>
        <v>#N/A</v>
      </c>
      <c r="F12" s="10" t="e">
        <f>VLOOKUP("PozdniNavozPocetOperaci_FNOL",DATA!$A:$K,7,0)</f>
        <v>#N/A</v>
      </c>
      <c r="G12" s="9" t="e">
        <f>VLOOKUP("PozdniNavozPocetOperaci_FNOL",DATA!$A:$K,8,0)</f>
        <v>#N/A</v>
      </c>
      <c r="H12" s="10" t="e">
        <f>VLOOKUP("PozdniNavozPocetOperaci_FNOL",DATA!$A:$K,9,0)</f>
        <v>#N/A</v>
      </c>
      <c r="I12" s="10" t="e">
        <f>VLOOKUP("PozdniNavozPocetOperaci_FNOL",DATA!$A:$K,10,0)</f>
        <v>#N/A</v>
      </c>
      <c r="J12" s="11" t="e">
        <f>VLOOKUP("PozdniNavozPocetOperaci_FNOL",DATA!$A:$K,11,0)</f>
        <v>#N/A</v>
      </c>
    </row>
    <row r="35" spans="1:10" ht="15" thickBot="1" x14ac:dyDescent="0.35"/>
    <row r="36" spans="1:10" ht="15" thickBot="1" x14ac:dyDescent="0.35">
      <c r="A36" s="26" t="str">
        <f>A6</f>
        <v>popis</v>
      </c>
      <c r="B36" s="27" t="str">
        <f t="shared" ref="B36:J36" si="2">B6</f>
        <v>fnol</v>
      </c>
      <c r="C36" s="39" t="str">
        <f t="shared" si="2"/>
        <v>Rok 2020</v>
      </c>
      <c r="D36" s="27" t="str">
        <f t="shared" si="2"/>
        <v>Rok 2021</v>
      </c>
      <c r="E36" s="27" t="str">
        <f t="shared" si="2"/>
        <v>Rok 2022</v>
      </c>
      <c r="F36" s="28" t="str">
        <f t="shared" si="2"/>
        <v>Rok 2023</v>
      </c>
      <c r="G36" s="76" t="str">
        <f t="shared" ca="1" si="2"/>
        <v>prosinec 2024</v>
      </c>
      <c r="H36" s="76" t="str">
        <f t="shared" ca="1" si="2"/>
        <v>listopad 2024</v>
      </c>
      <c r="I36" s="76" t="str">
        <f t="shared" ca="1" si="2"/>
        <v>říjen 2024</v>
      </c>
      <c r="J36" s="77" t="str">
        <f t="shared" ca="1" si="2"/>
        <v>září 2024</v>
      </c>
    </row>
    <row r="37" spans="1:10" x14ac:dyDescent="0.3">
      <c r="A37" s="24" t="e">
        <f>VLOOKUP(CONCATENATE("PozdniNavozProcenta_",DATA!$U$1),DATA!$A:$K,2,0)</f>
        <v>#N/A</v>
      </c>
      <c r="B37" s="18" t="e">
        <f>VLOOKUP(CONCATENATE("PozdniNavozProcenta_",DATA!$U$1),DATA!$A:$K,3,0)</f>
        <v>#N/A</v>
      </c>
      <c r="C37" s="40" t="e">
        <f>VLOOKUP(CONCATENATE("PozdniNavozProcenta_",DATA!$U$1),DATA!$A:$K,4,0)</f>
        <v>#N/A</v>
      </c>
      <c r="D37" s="19" t="e">
        <f>VLOOKUP(CONCATENATE("PozdniNavozProcenta_",DATA!$U$1),DATA!$A:$K,5,0)</f>
        <v>#N/A</v>
      </c>
      <c r="E37" s="19" t="e">
        <f>VLOOKUP(CONCATENATE("PozdniNavozProcenta_",DATA!$U$1),DATA!$A:$K,6,0)</f>
        <v>#N/A</v>
      </c>
      <c r="F37" s="20" t="e">
        <f>VLOOKUP(CONCATENATE("PozdniNavozProcenta_",DATA!$U$1),DATA!$A:$K,7,0)</f>
        <v>#N/A</v>
      </c>
      <c r="G37" s="19" t="e">
        <f>VLOOKUP(CONCATENATE("PozdniNavozProcenta_",DATA!$U$1),DATA!$A:$K,8,0)</f>
        <v>#N/A</v>
      </c>
      <c r="H37" s="19" t="e">
        <f>VLOOKUP(CONCATENATE("PozdniNavozProcenta_",DATA!$U$1),DATA!$A:$K,9,0)</f>
        <v>#N/A</v>
      </c>
      <c r="I37" s="19" t="e">
        <f>VLOOKUP(CONCATENATE("PozdniNavozProcenta_",DATA!$U$1),DATA!$A:$K,10,0)</f>
        <v>#N/A</v>
      </c>
      <c r="J37" s="20" t="e">
        <f>VLOOKUP(CONCATENATE("PozdniNavozProcenta_",DATA!$U$1),DATA!$A:$K,11,0)</f>
        <v>#N/A</v>
      </c>
    </row>
    <row r="38" spans="1:10" ht="15" thickBot="1" x14ac:dyDescent="0.35">
      <c r="A38" s="25" t="e">
        <f>VLOOKUP("PozdniNavozProcenta_FNOL",DATA!$A:$K,2,0)</f>
        <v>#N/A</v>
      </c>
      <c r="B38" s="21" t="e">
        <f>VLOOKUP("PozdniNavozProcenta_FNOL",DATA!$A:$K,3,0)</f>
        <v>#N/A</v>
      </c>
      <c r="C38" s="41" t="e">
        <f>VLOOKUP("PozdniNavozProcenta_FNOL",DATA!$A:$K,4,0)</f>
        <v>#N/A</v>
      </c>
      <c r="D38" s="22" t="e">
        <f>VLOOKUP("PozdniNavozProcenta_FNOL",DATA!$A:$K,5,0)</f>
        <v>#N/A</v>
      </c>
      <c r="E38" s="22" t="e">
        <f>VLOOKUP("PozdniNavozProcenta_FNOL",DATA!$A:$K,6,0)</f>
        <v>#N/A</v>
      </c>
      <c r="F38" s="23" t="e">
        <f>VLOOKUP("PozdniNavozProcenta_FNOL",DATA!$A:$K,7,0)</f>
        <v>#N/A</v>
      </c>
      <c r="G38" s="22" t="e">
        <f>VLOOKUP("PozdniNavozProcenta_FNOL",DATA!$A:$K,8,0)</f>
        <v>#N/A</v>
      </c>
      <c r="H38" s="22" t="e">
        <f>VLOOKUP("PozdniNavozProcenta_FNOL",DATA!$A:$K,9,0)</f>
        <v>#N/A</v>
      </c>
      <c r="I38" s="22" t="e">
        <f>VLOOKUP("PozdniNavozProcenta_FNOL",DATA!$A:$K,10,0)</f>
        <v>#N/A</v>
      </c>
      <c r="J38" s="23" t="e">
        <f>VLOOKUP("PozdniNavozProcenta_FNOL",DATA!$A:$K,11,0)</f>
        <v>#N/A</v>
      </c>
    </row>
    <row r="81" spans="1:10" ht="15" thickBot="1" x14ac:dyDescent="0.35"/>
    <row r="82" spans="1:10" ht="15" thickBot="1" x14ac:dyDescent="0.35">
      <c r="A82" s="39" t="str">
        <f>A6</f>
        <v>popis</v>
      </c>
      <c r="B82" s="26" t="str">
        <f t="shared" ref="B82:J82" si="3">B6</f>
        <v>fnol</v>
      </c>
      <c r="C82" s="27" t="str">
        <f t="shared" si="3"/>
        <v>Rok 2020</v>
      </c>
      <c r="D82" s="27" t="str">
        <f t="shared" si="3"/>
        <v>Rok 2021</v>
      </c>
      <c r="E82" s="27" t="str">
        <f t="shared" si="3"/>
        <v>Rok 2022</v>
      </c>
      <c r="F82" s="27" t="str">
        <f t="shared" si="3"/>
        <v>Rok 2023</v>
      </c>
      <c r="G82" s="78" t="str">
        <f t="shared" ca="1" si="3"/>
        <v>prosinec 2024</v>
      </c>
      <c r="H82" s="76" t="str">
        <f t="shared" ca="1" si="3"/>
        <v>listopad 2024</v>
      </c>
      <c r="I82" s="76" t="str">
        <f t="shared" ca="1" si="3"/>
        <v>říjen 2024</v>
      </c>
      <c r="J82" s="77" t="str">
        <f t="shared" ca="1" si="3"/>
        <v>září 2024</v>
      </c>
    </row>
    <row r="83" spans="1:10" x14ac:dyDescent="0.3">
      <c r="A83" s="43" t="e">
        <f>VLOOKUP(CONCATENATE("DrivejsiKonecMinuty_",DATA!$U$1),DATA!$A:$K,2,0)</f>
        <v>#N/A</v>
      </c>
      <c r="B83" s="48" t="e">
        <f>VLOOKUP(CONCATENATE("DrivejsiKonecMinuty_",DATA!$U$1),DATA!$A:$K,3,0)</f>
        <v>#N/A</v>
      </c>
      <c r="C83" s="42" t="e">
        <f>VLOOKUP(CONCATENATE("DrivejsiKonecMinuty_",DATA!$U$1),DATA!$A:$K,4,0)</f>
        <v>#N/A</v>
      </c>
      <c r="D83" s="42" t="e">
        <f>VLOOKUP(CONCATENATE("DrivejsiKonecMinuty_",DATA!$U$1),DATA!$A:$K,5,0)</f>
        <v>#N/A</v>
      </c>
      <c r="E83" s="42" t="e">
        <f>VLOOKUP(CONCATENATE("DrivejsiKonecMinuty_",DATA!$U$1),DATA!$A:$K,6,0)</f>
        <v>#N/A</v>
      </c>
      <c r="F83" s="42" t="e">
        <f>VLOOKUP(CONCATENATE("DrivejsiKonecMinuty_",DATA!$U$1),DATA!$A:$K,7,0)</f>
        <v>#N/A</v>
      </c>
      <c r="G83" s="50" t="e">
        <f>VLOOKUP(CONCATENATE("DrivejsiKonecMinuty_",DATA!$U$1),DATA!$A:$K,8,0)</f>
        <v>#N/A</v>
      </c>
      <c r="H83" s="42" t="e">
        <f>VLOOKUP(CONCATENATE("DrivejsiKonecMinuty_",DATA!$U$1),DATA!$A:$K,9,0)</f>
        <v>#N/A</v>
      </c>
      <c r="I83" s="42" t="e">
        <f>VLOOKUP(CONCATENATE("DrivejsiKonecMinuty_",DATA!$U$1),DATA!$A:$K,10,0)</f>
        <v>#N/A</v>
      </c>
      <c r="J83" s="44" t="e">
        <f>VLOOKUP(CONCATENATE("DrivejsiKonecMinuty_",DATA!$U$1),DATA!$A:$K,11,0)</f>
        <v>#N/A</v>
      </c>
    </row>
    <row r="84" spans="1:10" ht="15" thickBot="1" x14ac:dyDescent="0.35">
      <c r="A84" s="45" t="e">
        <f>VLOOKUP("DrivejsiKonecMinuty_FNOL",DATA!$A:$K,2,0)</f>
        <v>#N/A</v>
      </c>
      <c r="B84" s="49" t="e">
        <f>VLOOKUP("DrivejsiKonecMinuty_FNOL",DATA!$A:$K,3,0)</f>
        <v>#N/A</v>
      </c>
      <c r="C84" s="46" t="e">
        <f>VLOOKUP("DrivejsiKonecMinuty_FNOL",DATA!$A:$K,4,0)</f>
        <v>#N/A</v>
      </c>
      <c r="D84" s="46" t="e">
        <f>VLOOKUP("DrivejsiKonecMinuty_FNOL",DATA!$A:$K,5,0)</f>
        <v>#N/A</v>
      </c>
      <c r="E84" s="46" t="e">
        <f>VLOOKUP("DrivejsiKonecMinuty_FNOL",DATA!$A:$K,6,0)</f>
        <v>#N/A</v>
      </c>
      <c r="F84" s="46" t="e">
        <f>VLOOKUP("DrivejsiKonecMinuty_FNOL",DATA!$A:$K,7,0)</f>
        <v>#N/A</v>
      </c>
      <c r="G84" s="51" t="e">
        <f>VLOOKUP("DrivejsiKonecMinuty_FNOL",DATA!$A:$K,8,0)</f>
        <v>#N/A</v>
      </c>
      <c r="H84" s="46" t="e">
        <f>VLOOKUP("DrivejsiKonecMinuty_FNOL",DATA!$A:$K,9,0)</f>
        <v>#N/A</v>
      </c>
      <c r="I84" s="46" t="e">
        <f>VLOOKUP("DrivejsiKonecMinuty_FNOL",DATA!$A:$K,10,0)</f>
        <v>#N/A</v>
      </c>
      <c r="J84" s="47" t="e">
        <f>VLOOKUP("DrivejsiKonecMinuty_FNOL",DATA!$A:$K,11,0)</f>
        <v>#N/A</v>
      </c>
    </row>
    <row r="107" spans="1:10" ht="15" thickBot="1" x14ac:dyDescent="0.35"/>
    <row r="108" spans="1:10" ht="15" thickBot="1" x14ac:dyDescent="0.35">
      <c r="A108" s="39" t="str">
        <f>A6</f>
        <v>popis</v>
      </c>
      <c r="B108" s="26" t="str">
        <f t="shared" ref="B108:J108" si="4">B6</f>
        <v>fnol</v>
      </c>
      <c r="C108" s="27" t="str">
        <f t="shared" si="4"/>
        <v>Rok 2020</v>
      </c>
      <c r="D108" s="27" t="str">
        <f t="shared" si="4"/>
        <v>Rok 2021</v>
      </c>
      <c r="E108" s="27" t="str">
        <f t="shared" si="4"/>
        <v>Rok 2022</v>
      </c>
      <c r="F108" s="27" t="str">
        <f t="shared" si="4"/>
        <v>Rok 2023</v>
      </c>
      <c r="G108" s="78" t="str">
        <f t="shared" ca="1" si="4"/>
        <v>prosinec 2024</v>
      </c>
      <c r="H108" s="76" t="str">
        <f t="shared" ca="1" si="4"/>
        <v>listopad 2024</v>
      </c>
      <c r="I108" s="76" t="str">
        <f t="shared" ca="1" si="4"/>
        <v>říjen 2024</v>
      </c>
      <c r="J108" s="77" t="str">
        <f t="shared" ca="1" si="4"/>
        <v>září 2024</v>
      </c>
    </row>
    <row r="109" spans="1:10" x14ac:dyDescent="0.3">
      <c r="A109" s="43" t="e">
        <f>VLOOKUP(CONCATENATE("DrivejsiKonecProcenta_",DATA!$U$1),DATA!$A:$K,2,0)</f>
        <v>#N/A</v>
      </c>
      <c r="B109" s="48" t="e">
        <f>VLOOKUP(CONCATENATE("DrivejsiKonecProcenta_",DATA!$U$1),DATA!$A:$K,3,0)</f>
        <v>#N/A</v>
      </c>
      <c r="C109" s="42" t="e">
        <f>VLOOKUP(CONCATENATE("DrivejsiKonecProcenta_",DATA!$U$1),DATA!$A:$K,4,0)</f>
        <v>#N/A</v>
      </c>
      <c r="D109" s="42" t="e">
        <f>VLOOKUP(CONCATENATE("DrivejsiKonecProcenta_",DATA!$U$1),DATA!$A:$K,5,0)</f>
        <v>#N/A</v>
      </c>
      <c r="E109" s="42" t="e">
        <f>VLOOKUP(CONCATENATE("DrivejsiKonecProcenta_",DATA!$U$1),DATA!$A:$K,6,0)</f>
        <v>#N/A</v>
      </c>
      <c r="F109" s="42" t="e">
        <f>VLOOKUP(CONCATENATE("DrivejsiKonecProcenta_",DATA!$U$1),DATA!$A:$K,7,0)</f>
        <v>#N/A</v>
      </c>
      <c r="G109" s="50" t="e">
        <f>VLOOKUP(CONCATENATE("DrivejsiKonecProcenta_",DATA!$U$1),DATA!$A:$K,8,0)</f>
        <v>#N/A</v>
      </c>
      <c r="H109" s="42" t="e">
        <f>VLOOKUP(CONCATENATE("DrivejsiKonecProcenta_",DATA!$U$1),DATA!$A:$K,9,0)</f>
        <v>#N/A</v>
      </c>
      <c r="I109" s="42" t="e">
        <f>VLOOKUP(CONCATENATE("DrivejsiKonecProcenta_",DATA!$U$1),DATA!$A:$K,10,0)</f>
        <v>#N/A</v>
      </c>
      <c r="J109" s="44" t="e">
        <f>VLOOKUP(CONCATENATE("DrivejsiKonecProcenta_",DATA!$U$1),DATA!$A:$K,11,0)</f>
        <v>#N/A</v>
      </c>
    </row>
    <row r="110" spans="1:10" ht="15" thickBot="1" x14ac:dyDescent="0.35">
      <c r="A110" s="45" t="e">
        <f>VLOOKUP("DrivejsiKonecProcenta_FNOL",DATA!$A:$K,2,0)</f>
        <v>#N/A</v>
      </c>
      <c r="B110" s="49" t="e">
        <f>VLOOKUP("DrivejsiKonecProcenta_FNOL",DATA!$A:$K,3,0)</f>
        <v>#N/A</v>
      </c>
      <c r="C110" s="46" t="e">
        <f>VLOOKUP("DrivejsiKonecProcenta_FNOL",DATA!$A:$K,4,0)</f>
        <v>#N/A</v>
      </c>
      <c r="D110" s="46" t="e">
        <f>VLOOKUP("DrivejsiKonecProcenta_FNOL",DATA!$A:$K,5,0)</f>
        <v>#N/A</v>
      </c>
      <c r="E110" s="46" t="e">
        <f>VLOOKUP("DrivejsiKonecProcenta_FNOL",DATA!$A:$K,6,0)</f>
        <v>#N/A</v>
      </c>
      <c r="F110" s="46" t="e">
        <f>VLOOKUP("DrivejsiKonecProcenta_FNOL",DATA!$A:$K,7,0)</f>
        <v>#N/A</v>
      </c>
      <c r="G110" s="51" t="e">
        <f>VLOOKUP("DrivejsiKonecProcenta_FNOL",DATA!$A:$K,8,0)</f>
        <v>#N/A</v>
      </c>
      <c r="H110" s="46" t="e">
        <f>VLOOKUP("DrivejsiKonecProcenta_FNOL",DATA!$A:$K,9,0)</f>
        <v>#N/A</v>
      </c>
      <c r="I110" s="46" t="e">
        <f>VLOOKUP("DrivejsiKonecProcenta_FNOL",DATA!$A:$K,10,0)</f>
        <v>#N/A</v>
      </c>
      <c r="J110" s="47" t="e">
        <f>VLOOKUP("DrivejsiKonecProcenta_FNOL",DATA!$A:$K,11,0)</f>
        <v>#N/A</v>
      </c>
    </row>
  </sheetData>
  <pageMargins left="0.7" right="0.7" top="0.78740157499999996" bottom="0.78740157499999996" header="0.3" footer="0.3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3BA479-8D00-4D7A-B7FD-F8B5742DAA3B}">
  <dimension ref="A1:J82"/>
  <sheetViews>
    <sheetView zoomScaleNormal="100" workbookViewId="0">
      <selection activeCell="M16" sqref="M16"/>
    </sheetView>
  </sheetViews>
  <sheetFormatPr defaultRowHeight="14.4" x14ac:dyDescent="0.3"/>
  <cols>
    <col min="1" max="1" width="27.6640625" customWidth="1"/>
    <col min="2" max="2" width="5.6640625" bestFit="1" customWidth="1"/>
    <col min="3" max="10" width="11.5546875" customWidth="1"/>
  </cols>
  <sheetData>
    <row r="1" spans="1:10" ht="15" thickBot="1" x14ac:dyDescent="0.35"/>
    <row r="2" spans="1:10" ht="15" thickBot="1" x14ac:dyDescent="0.35">
      <c r="A2" s="97" t="str">
        <f>[1]strana1!A2</f>
        <v>popis</v>
      </c>
      <c r="B2" s="97" t="str">
        <f>[1]strana1!B2</f>
        <v>fnol</v>
      </c>
      <c r="C2" s="98" t="str">
        <f>[1]strana1!C2</f>
        <v>Rok 2021</v>
      </c>
      <c r="D2" s="98" t="str">
        <f>[1]strana1!D2</f>
        <v>Rok 2022</v>
      </c>
      <c r="E2" s="98" t="str">
        <f>[1]strana1!E2</f>
        <v>Rok 2023</v>
      </c>
      <c r="F2" s="99" t="str">
        <f>[1]strana1!F2</f>
        <v>Rok 2024</v>
      </c>
      <c r="G2" s="100" t="str">
        <f>[1]strana1!G2</f>
        <v>listopad 2024</v>
      </c>
      <c r="H2" s="101" t="str">
        <f>[1]strana1!H2</f>
        <v>říjen 2024</v>
      </c>
      <c r="I2" s="101" t="str">
        <f>[1]strana1!I2</f>
        <v>září 2024</v>
      </c>
      <c r="J2" s="102" t="str">
        <f>[1]strana1!J2</f>
        <v>srpen 2024</v>
      </c>
    </row>
    <row r="3" spans="1:10" x14ac:dyDescent="0.3">
      <c r="A3" s="103" t="s">
        <v>22</v>
      </c>
      <c r="B3" s="103" t="str">
        <f>[1]DATA!U1</f>
        <v>URO</v>
      </c>
      <c r="C3" s="104" t="e">
        <f t="shared" ref="C3:J3" si="0">C4/C5</f>
        <v>#N/A</v>
      </c>
      <c r="D3" s="105" t="e">
        <f t="shared" si="0"/>
        <v>#N/A</v>
      </c>
      <c r="E3" s="105" t="e">
        <f t="shared" si="0"/>
        <v>#N/A</v>
      </c>
      <c r="F3" s="106" t="e">
        <f t="shared" si="0"/>
        <v>#N/A</v>
      </c>
      <c r="G3" s="107" t="e">
        <f t="shared" si="0"/>
        <v>#N/A</v>
      </c>
      <c r="H3" s="108" t="e">
        <f t="shared" si="0"/>
        <v>#N/A</v>
      </c>
      <c r="I3" s="108" t="e">
        <f t="shared" si="0"/>
        <v>#N/A</v>
      </c>
      <c r="J3" s="109" t="e">
        <f t="shared" si="0"/>
        <v>#N/A</v>
      </c>
    </row>
    <row r="4" spans="1:10" x14ac:dyDescent="0.3">
      <c r="A4" s="110" t="e">
        <f>VLOOKUP(CONCATENATE("DrivejsiKonecMinuty_",[1]DATA!$U$1),[1]DATA!$A:$K,2,0)</f>
        <v>#N/A</v>
      </c>
      <c r="B4" s="110" t="str">
        <f>[1]DATA!U1</f>
        <v>URO</v>
      </c>
      <c r="C4" s="111" t="e">
        <f>VLOOKUP(CONCATENATE("DrivejsiKonecMinuty_",[1]DATA!$U$1),[1]DATA!$A:$K,4,0)</f>
        <v>#N/A</v>
      </c>
      <c r="D4" s="112" t="e">
        <f>VLOOKUP(CONCATENATE("DrivejsiKonecMinuty_",[1]DATA!$U$1),[1]DATA!$A:$K,5,0)</f>
        <v>#N/A</v>
      </c>
      <c r="E4" s="112" t="e">
        <f>VLOOKUP(CONCATENATE("DrivejsiKonecMinuty_",[1]DATA!$U$1),[1]DATA!$A:$K,6,0)</f>
        <v>#N/A</v>
      </c>
      <c r="F4" s="113" t="e">
        <f>VLOOKUP(CONCATENATE("DrivejsiKonecMinuty_",[1]DATA!$U$1),[1]DATA!$A:$K,7,0)</f>
        <v>#N/A</v>
      </c>
      <c r="G4" s="114" t="e">
        <f>VLOOKUP(CONCATENATE("DrivejsiKonecMinuty_",[1]DATA!$U$1),[1]DATA!$A:$K,8,0)</f>
        <v>#N/A</v>
      </c>
      <c r="H4" s="115" t="e">
        <f>VLOOKUP(CONCATENATE("DrivejsiKonecMinuty_",[1]DATA!$U$1),[1]DATA!$A:$K,9,0)</f>
        <v>#N/A</v>
      </c>
      <c r="I4" s="115" t="e">
        <f>VLOOKUP(CONCATENATE("DrivejsiKonecMinuty_",[1]DATA!$U$1),[1]DATA!$A:$K,10,0)</f>
        <v>#N/A</v>
      </c>
      <c r="J4" s="116" t="e">
        <f>VLOOKUP(CONCATENATE("DrivejsiKonecMinuty_",[1]DATA!$U$1),[1]DATA!$A:$K,11,0)</f>
        <v>#N/A</v>
      </c>
    </row>
    <row r="5" spans="1:10" ht="15" thickBot="1" x14ac:dyDescent="0.35">
      <c r="A5" s="117" t="e">
        <f>VLOOKUP(CONCATENATE("DrivejsiKonecCelkemOperaciProDrivejsiKonec_",[1]DATA!$U$1),[1]DATA!$A:$K,2,0)</f>
        <v>#N/A</v>
      </c>
      <c r="B5" s="118" t="str">
        <f>[1]DATA!U1</f>
        <v>URO</v>
      </c>
      <c r="C5" s="119" t="e">
        <f>VLOOKUP(CONCATENATE("DrivejsiKonecCelkemOperaciProDrivejsiKonec_",[1]DATA!$U$1),[1]DATA!$A:$K,4,0)</f>
        <v>#N/A</v>
      </c>
      <c r="D5" s="120" t="e">
        <f>VLOOKUP(CONCATENATE("DrivejsiKonecCelkemOperaciProDrivejsiKonec_",[1]DATA!$U$1),[1]DATA!$A:$K,5,0)</f>
        <v>#N/A</v>
      </c>
      <c r="E5" s="120" t="e">
        <f>VLOOKUP(CONCATENATE("DrivejsiKonecCelkemOperaciProDrivejsiKonec_",[1]DATA!$U$1),[1]DATA!$A:$K,6,0)</f>
        <v>#N/A</v>
      </c>
      <c r="F5" s="121" t="e">
        <f>VLOOKUP(CONCATENATE("DrivejsiKonecCelkemOperaciProDrivejsiKonec_",[1]DATA!$U$1),[1]DATA!$A:$K,7,0)</f>
        <v>#N/A</v>
      </c>
      <c r="G5" s="122" t="e">
        <f>VLOOKUP(CONCATENATE("DrivejsiKonecCelkemOperaciProDrivejsiKonec_",[1]DATA!$U$1),[1]DATA!$A:$K,8,0)</f>
        <v>#N/A</v>
      </c>
      <c r="H5" s="123" t="e">
        <f>VLOOKUP(CONCATENATE("DrivejsiKonecCelkemOperaciProDrivejsiKonec_",[1]DATA!$U$1),[1]DATA!$A:$K,9,0)</f>
        <v>#N/A</v>
      </c>
      <c r="I5" s="123" t="e">
        <f>VLOOKUP(CONCATENATE("DrivejsiKonecCelkemOperaciProDrivejsiKonec_",[1]DATA!$U$1),[1]DATA!$A:$K,10,0)</f>
        <v>#N/A</v>
      </c>
      <c r="J5" s="124" t="e">
        <f>VLOOKUP(CONCATENATE("DrivejsiKonecCelkemOperaciProDrivejsiKonec_",[1]DATA!$U$1),[1]DATA!$A:$K,11,0)</f>
        <v>#N/A</v>
      </c>
    </row>
    <row r="6" spans="1:10" ht="15" hidden="1" thickBot="1" x14ac:dyDescent="0.35">
      <c r="A6" s="125" t="e">
        <f>VLOOKUP("PozdniNavozPocetOperaci_FNOL",[1]DATA!$A:$K,2,0)</f>
        <v>#N/A</v>
      </c>
      <c r="B6" s="125" t="e">
        <f>VLOOKUP("PozdniNavozPocetOperaci_FNOL",[1]DATA!$A:$K,3,0)</f>
        <v>#N/A</v>
      </c>
      <c r="C6" s="126" t="e">
        <f>VLOOKUP("PozdniNavozPocetOperaci_FNOL",[1]DATA!$A:$K,4,0)</f>
        <v>#N/A</v>
      </c>
      <c r="D6" s="126" t="e">
        <f>VLOOKUP("PozdniNavozPocetOperaci_FNOL",[1]DATA!$A:$K,5,0)</f>
        <v>#N/A</v>
      </c>
      <c r="E6" s="126" t="e">
        <f>VLOOKUP("PozdniNavozPocetOperaci_FNOL",[1]DATA!$A:$K,6,0)</f>
        <v>#N/A</v>
      </c>
      <c r="F6" s="126" t="e">
        <f>VLOOKUP("PozdniNavozPocetOperaci_FNOL",[1]DATA!$A:$K,7,0)</f>
        <v>#N/A</v>
      </c>
      <c r="G6" s="127" t="e">
        <f>VLOOKUP("PozdniNavozPocetOperaci_FNOL",[1]DATA!$A:$K,8,0)</f>
        <v>#N/A</v>
      </c>
      <c r="H6" s="126" t="e">
        <f>VLOOKUP("PozdniNavozPocetOperaci_FNOL",[1]DATA!$A:$K,9,0)</f>
        <v>#N/A</v>
      </c>
      <c r="I6" s="126" t="e">
        <f>VLOOKUP("PozdniNavozPocetOperaci_FNOL",[1]DATA!$A:$K,10,0)</f>
        <v>#N/A</v>
      </c>
      <c r="J6" s="128" t="e">
        <f>VLOOKUP("PozdniNavozPocetOperaci_FNOL",[1]DATA!$A:$K,11,0)</f>
        <v>#N/A</v>
      </c>
    </row>
    <row r="26" spans="1:10" x14ac:dyDescent="0.3">
      <c r="B26" s="140" t="s">
        <v>24</v>
      </c>
      <c r="C26" s="140"/>
      <c r="D26" s="140"/>
      <c r="E26" s="140"/>
      <c r="F26" s="140"/>
      <c r="G26" s="140"/>
      <c r="H26" s="140"/>
    </row>
    <row r="27" spans="1:10" x14ac:dyDescent="0.3">
      <c r="B27" s="140"/>
      <c r="C27" s="140"/>
      <c r="D27" s="140"/>
      <c r="E27" s="140"/>
      <c r="F27" s="140"/>
      <c r="G27" s="140"/>
      <c r="H27" s="140"/>
    </row>
    <row r="29" spans="1:10" ht="15" thickBot="1" x14ac:dyDescent="0.35"/>
    <row r="30" spans="1:10" ht="15" thickBot="1" x14ac:dyDescent="0.35">
      <c r="A30" s="129" t="str">
        <f>A2</f>
        <v>popis</v>
      </c>
      <c r="B30" s="130" t="str">
        <f t="shared" ref="B30:J30" si="1">B2</f>
        <v>fnol</v>
      </c>
      <c r="C30" s="131" t="str">
        <f t="shared" si="1"/>
        <v>Rok 2021</v>
      </c>
      <c r="D30" s="131" t="str">
        <f t="shared" si="1"/>
        <v>Rok 2022</v>
      </c>
      <c r="E30" s="131" t="str">
        <f t="shared" si="1"/>
        <v>Rok 2023</v>
      </c>
      <c r="F30" s="132" t="str">
        <f t="shared" si="1"/>
        <v>Rok 2024</v>
      </c>
      <c r="G30" s="133" t="str">
        <f t="shared" si="1"/>
        <v>listopad 2024</v>
      </c>
      <c r="H30" s="134" t="str">
        <f t="shared" si="1"/>
        <v>říjen 2024</v>
      </c>
      <c r="I30" s="134" t="str">
        <f t="shared" si="1"/>
        <v>září 2024</v>
      </c>
      <c r="J30" s="135" t="str">
        <f t="shared" si="1"/>
        <v>srpen 2024</v>
      </c>
    </row>
    <row r="31" spans="1:10" ht="15" thickBot="1" x14ac:dyDescent="0.35">
      <c r="A31" s="118" t="e">
        <f>VLOOKUP(CONCATENATE("DrivejsiKonecProcenta_",[1]DATA!$U$1),[1]DATA!$A:$K,2,0)</f>
        <v>#N/A</v>
      </c>
      <c r="B31" s="136" t="str">
        <f>[1]DATA!U1</f>
        <v>URO</v>
      </c>
      <c r="C31" s="137" t="e">
        <f>VLOOKUP(CONCATENATE("DrivejsiKonecProcenta_",[1]DATA!$U$1),[1]DATA!$A:$K,4,0)</f>
        <v>#N/A</v>
      </c>
      <c r="D31" s="137" t="e">
        <f>VLOOKUP(CONCATENATE("DrivejsiKonecProcenta_",[1]DATA!$U$1),[1]DATA!$A:$K,5,0)</f>
        <v>#N/A</v>
      </c>
      <c r="E31" s="137" t="e">
        <f>VLOOKUP(CONCATENATE("DrivejsiKonecProcenta_",[1]DATA!$U$1),[1]DATA!$A:$K,6,0)</f>
        <v>#N/A</v>
      </c>
      <c r="F31" s="121" t="e">
        <f>VLOOKUP(CONCATENATE("DrivejsiKonecProcenta_",[1]DATA!$U$1),[1]DATA!$A:$K,7,0)</f>
        <v>#N/A</v>
      </c>
      <c r="G31" s="122" t="e">
        <f>VLOOKUP(CONCATENATE("DrivejsiKonecProcenta_",[1]DATA!$U$1),[1]DATA!$A:$K,8,0)</f>
        <v>#N/A</v>
      </c>
      <c r="H31" s="123" t="e">
        <f>VLOOKUP(CONCATENATE("DrivejsiKonecProcenta_",[1]DATA!$U$1),[1]DATA!$A:$K,9,0)</f>
        <v>#N/A</v>
      </c>
      <c r="I31" s="123" t="e">
        <f>VLOOKUP(CONCATENATE("DrivejsiKonecProcenta_",[1]DATA!$U$1),[1]DATA!$A:$K,10,0)</f>
        <v>#N/A</v>
      </c>
      <c r="J31" s="124" t="e">
        <f>VLOOKUP(CONCATENATE("DrivejsiKonecProcenta_",[1]DATA!$U$1),[1]DATA!$A:$K,11,0)</f>
        <v>#N/A</v>
      </c>
    </row>
    <row r="32" spans="1:10" ht="15" hidden="1" thickBot="1" x14ac:dyDescent="0.35">
      <c r="A32" s="25" t="e">
        <f>VLOOKUP("PozdniNavozProcenta_FNOL",[1]DATA!$A:$K,2,0)</f>
        <v>#N/A</v>
      </c>
      <c r="B32" s="21" t="e">
        <f>VLOOKUP("PozdniNavozProcenta_FNOL",[1]DATA!$A:$K,3,0)</f>
        <v>#N/A</v>
      </c>
      <c r="C32" s="41" t="e">
        <f>VLOOKUP("PozdniNavozProcenta_FNOL",[1]DATA!$A:$K,4,0)</f>
        <v>#N/A</v>
      </c>
      <c r="D32" s="22" t="e">
        <f>VLOOKUP("PozdniNavozProcenta_FNOL",[1]DATA!$A:$K,5,0)</f>
        <v>#N/A</v>
      </c>
      <c r="E32" s="22" t="e">
        <f>VLOOKUP("PozdniNavozProcenta_FNOL",[1]DATA!$A:$K,6,0)</f>
        <v>#N/A</v>
      </c>
      <c r="F32" s="23" t="e">
        <f>VLOOKUP("PozdniNavozProcenta_FNOL",[1]DATA!$A:$K,7,0)</f>
        <v>#N/A</v>
      </c>
      <c r="G32" s="22" t="e">
        <f>VLOOKUP("PozdniNavozProcenta_FNOL",[1]DATA!$A:$K,8,0)</f>
        <v>#N/A</v>
      </c>
      <c r="H32" s="22" t="e">
        <f>VLOOKUP("PozdniNavozProcenta_FNOL",[1]DATA!$A:$K,9,0)</f>
        <v>#N/A</v>
      </c>
      <c r="I32" s="22" t="e">
        <f>VLOOKUP("PozdniNavozProcenta_FNOL",[1]DATA!$A:$K,10,0)</f>
        <v>#N/A</v>
      </c>
      <c r="J32" s="23" t="e">
        <f>VLOOKUP("PozdniNavozProcenta_FNOL",[1]DATA!$A:$K,11,0)</f>
        <v>#N/A</v>
      </c>
    </row>
    <row r="53" spans="1:10" ht="15" thickBot="1" x14ac:dyDescent="0.35"/>
    <row r="54" spans="1:10" ht="15" thickBot="1" x14ac:dyDescent="0.35">
      <c r="A54" s="97" t="str">
        <f t="shared" ref="A54:J54" si="2">A2</f>
        <v>popis</v>
      </c>
      <c r="B54" s="97" t="str">
        <f t="shared" si="2"/>
        <v>fnol</v>
      </c>
      <c r="C54" s="98" t="str">
        <f t="shared" si="2"/>
        <v>Rok 2021</v>
      </c>
      <c r="D54" s="98" t="str">
        <f t="shared" si="2"/>
        <v>Rok 2022</v>
      </c>
      <c r="E54" s="98" t="str">
        <f t="shared" si="2"/>
        <v>Rok 2023</v>
      </c>
      <c r="F54" s="99" t="str">
        <f t="shared" si="2"/>
        <v>Rok 2024</v>
      </c>
      <c r="G54" s="100" t="str">
        <f t="shared" si="2"/>
        <v>listopad 2024</v>
      </c>
      <c r="H54" s="101" t="str">
        <f t="shared" si="2"/>
        <v>říjen 2024</v>
      </c>
      <c r="I54" s="101" t="str">
        <f t="shared" si="2"/>
        <v>září 2024</v>
      </c>
      <c r="J54" s="102" t="str">
        <f t="shared" si="2"/>
        <v>srpen 2024</v>
      </c>
    </row>
    <row r="55" spans="1:10" x14ac:dyDescent="0.3">
      <c r="A55" s="103" t="s">
        <v>22</v>
      </c>
      <c r="B55" s="103" t="str">
        <f>[1]DATA!U1</f>
        <v>URO</v>
      </c>
      <c r="C55" s="104" t="e">
        <f t="shared" ref="C55:J55" si="3">C56/C57</f>
        <v>#N/A</v>
      </c>
      <c r="D55" s="105" t="e">
        <f t="shared" si="3"/>
        <v>#N/A</v>
      </c>
      <c r="E55" s="105" t="e">
        <f t="shared" si="3"/>
        <v>#N/A</v>
      </c>
      <c r="F55" s="106" t="e">
        <f t="shared" si="3"/>
        <v>#N/A</v>
      </c>
      <c r="G55" s="107" t="e">
        <f t="shared" si="3"/>
        <v>#N/A</v>
      </c>
      <c r="H55" s="108" t="e">
        <f t="shared" si="3"/>
        <v>#N/A</v>
      </c>
      <c r="I55" s="108" t="e">
        <f t="shared" si="3"/>
        <v>#N/A</v>
      </c>
      <c r="J55" s="109" t="e">
        <f t="shared" si="3"/>
        <v>#N/A</v>
      </c>
    </row>
    <row r="56" spans="1:10" x14ac:dyDescent="0.3">
      <c r="A56" s="110" t="e">
        <f>VLOOKUP(CONCATENATE("PozdniKonecMinuty_",[1]DATA!$U$1),[1]DATA!$A:$K,2,0)</f>
        <v>#N/A</v>
      </c>
      <c r="B56" s="110" t="str">
        <f>[1]DATA!U1</f>
        <v>URO</v>
      </c>
      <c r="C56" s="111" t="e">
        <f>VLOOKUP(CONCATENATE("PozdniKonecMinuty_",[1]DATA!$U$1),[1]DATA!$A:$K,4,0)</f>
        <v>#N/A</v>
      </c>
      <c r="D56" s="112" t="e">
        <f>VLOOKUP(CONCATENATE("PozdniKonecMinuty_",[1]DATA!$U$1),[1]DATA!$A:$K,5,0)</f>
        <v>#N/A</v>
      </c>
      <c r="E56" s="112" t="e">
        <f>VLOOKUP(CONCATENATE("PozdniKonecMinuty_",[1]DATA!$U$1),[1]DATA!$A:$K,6,0)</f>
        <v>#N/A</v>
      </c>
      <c r="F56" s="113" t="e">
        <f>VLOOKUP(CONCATENATE("PozdniKonecMinuty_",[1]DATA!$U$1),[1]DATA!$A:$K,7,0)</f>
        <v>#N/A</v>
      </c>
      <c r="G56" s="114" t="e">
        <f>VLOOKUP(CONCATENATE("PozdniKonecMinuty_",[1]DATA!$U$1),[1]DATA!$A:$K,8,0)</f>
        <v>#N/A</v>
      </c>
      <c r="H56" s="115" t="e">
        <f>VLOOKUP(CONCATENATE("PozdniKonecMinuty_",[1]DATA!$U$1),[1]DATA!$A:$K,9,0)</f>
        <v>#N/A</v>
      </c>
      <c r="I56" s="115" t="e">
        <f>VLOOKUP(CONCATENATE("PozdniKonecMinuty_",[1]DATA!$U$1),[1]DATA!$A:$K,10,0)</f>
        <v>#N/A</v>
      </c>
      <c r="J56" s="116" t="e">
        <f>VLOOKUP(CONCATENATE("PozdniKonecMinuty_",[1]DATA!$U$1),[1]DATA!$A:$K,11,0)</f>
        <v>#N/A</v>
      </c>
    </row>
    <row r="57" spans="1:10" ht="15" thickBot="1" x14ac:dyDescent="0.35">
      <c r="A57" s="117" t="e">
        <f>VLOOKUP(CONCATENATE("PozdniKonecCelkemOperaciProPozdniKonec_",[1]DATA!$U$1),[1]DATA!$A:$K,2,0)</f>
        <v>#N/A</v>
      </c>
      <c r="B57" s="118" t="str">
        <f>[1]DATA!U1</f>
        <v>URO</v>
      </c>
      <c r="C57" s="119" t="e">
        <f>VLOOKUP(CONCATENATE("PozdniKonecCelkemOperaciProPozdniKonec_",[1]DATA!$U$1),[1]DATA!$A:$K,4,0)</f>
        <v>#N/A</v>
      </c>
      <c r="D57" s="120" t="e">
        <f>VLOOKUP(CONCATENATE("PozdniKonecCelkemOperaciProPozdniKonec_",[1]DATA!$U$1),[1]DATA!$A:$K,5,0)</f>
        <v>#N/A</v>
      </c>
      <c r="E57" s="120" t="e">
        <f>VLOOKUP(CONCATENATE("PozdniKonecCelkemOperaciProPozdniKonec_",[1]DATA!$U$1),[1]DATA!$A:$K,6,0)</f>
        <v>#N/A</v>
      </c>
      <c r="F57" s="121" t="e">
        <f>VLOOKUP(CONCATENATE("PozdniKonecCelkemOperaciProPozdniKonec_",[1]DATA!$U$1),[1]DATA!$A:$K,7,0)</f>
        <v>#N/A</v>
      </c>
      <c r="G57" s="122" t="e">
        <f>VLOOKUP(CONCATENATE("PozdniKonecCelkemOperaciProPozdniKonec_",[1]DATA!$U$1),[1]DATA!$A:$K,8,0)</f>
        <v>#N/A</v>
      </c>
      <c r="H57" s="123" t="e">
        <f>VLOOKUP(CONCATENATE("PozdniKonecCelkemOperaciProPozdniKonec_",[1]DATA!$U$1),[1]DATA!$A:$K,9,0)</f>
        <v>#N/A</v>
      </c>
      <c r="I57" s="123" t="e">
        <f>VLOOKUP(CONCATENATE("PozdniKonecCelkemOperaciProPozdniKonec_",[1]DATA!$U$1),[1]DATA!$A:$K,10,0)</f>
        <v>#N/A</v>
      </c>
      <c r="J57" s="124" t="e">
        <f>VLOOKUP(CONCATENATE("PozdniKonecCelkemOperaciProPozdniKonec_",[1]DATA!$U$1),[1]DATA!$A:$K,11,0)</f>
        <v>#N/A</v>
      </c>
    </row>
    <row r="77" spans="2:8" x14ac:dyDescent="0.3">
      <c r="B77" s="140" t="s">
        <v>24</v>
      </c>
      <c r="C77" s="140"/>
      <c r="D77" s="140"/>
      <c r="E77" s="140"/>
      <c r="F77" s="140"/>
      <c r="G77" s="140"/>
      <c r="H77" s="140"/>
    </row>
    <row r="78" spans="2:8" x14ac:dyDescent="0.3">
      <c r="B78" s="140"/>
      <c r="C78" s="140"/>
      <c r="D78" s="140"/>
      <c r="E78" s="140"/>
      <c r="F78" s="140"/>
      <c r="G78" s="140"/>
      <c r="H78" s="140"/>
    </row>
    <row r="80" spans="2:8" ht="15" thickBot="1" x14ac:dyDescent="0.35"/>
    <row r="81" spans="1:10" ht="15" thickBot="1" x14ac:dyDescent="0.35">
      <c r="A81" s="129" t="str">
        <f>A54</f>
        <v>popis</v>
      </c>
      <c r="B81" s="130" t="str">
        <f t="shared" ref="B81:J81" si="4">B54</f>
        <v>fnol</v>
      </c>
      <c r="C81" s="131" t="str">
        <f t="shared" si="4"/>
        <v>Rok 2021</v>
      </c>
      <c r="D81" s="131" t="str">
        <f t="shared" si="4"/>
        <v>Rok 2022</v>
      </c>
      <c r="E81" s="131" t="str">
        <f t="shared" si="4"/>
        <v>Rok 2023</v>
      </c>
      <c r="F81" s="132" t="str">
        <f t="shared" si="4"/>
        <v>Rok 2024</v>
      </c>
      <c r="G81" s="133" t="str">
        <f t="shared" si="4"/>
        <v>listopad 2024</v>
      </c>
      <c r="H81" s="134" t="str">
        <f t="shared" si="4"/>
        <v>říjen 2024</v>
      </c>
      <c r="I81" s="134" t="str">
        <f t="shared" si="4"/>
        <v>září 2024</v>
      </c>
      <c r="J81" s="135" t="str">
        <f t="shared" si="4"/>
        <v>srpen 2024</v>
      </c>
    </row>
    <row r="82" spans="1:10" ht="15" thickBot="1" x14ac:dyDescent="0.35">
      <c r="A82" s="118" t="e">
        <f>VLOOKUP(CONCATENATE("PozdniKonecProcenta_",[1]DATA!$U$1),[1]DATA!$A:$K,2,0)</f>
        <v>#N/A</v>
      </c>
      <c r="B82" s="136" t="str">
        <f>[1]DATA!U1</f>
        <v>URO</v>
      </c>
      <c r="C82" s="137" t="e">
        <f>VLOOKUP(CONCATENATE("PozdniKonecProcenta_",[1]DATA!$U$1),[1]DATA!$A:$K,4,0)</f>
        <v>#N/A</v>
      </c>
      <c r="D82" s="137" t="e">
        <f>VLOOKUP(CONCATENATE("PozdniKonecProcenta_",[1]DATA!$U$1),[1]DATA!$A:$K,5,0)</f>
        <v>#N/A</v>
      </c>
      <c r="E82" s="137" t="e">
        <f>VLOOKUP(CONCATENATE("PozdniKonecProcenta_",[1]DATA!$U$1),[1]DATA!$A:$K,6,0)</f>
        <v>#N/A</v>
      </c>
      <c r="F82" s="121" t="e">
        <f>VLOOKUP(CONCATENATE("PozdniKonecProcenta_",[1]DATA!$U$1),[1]DATA!$A:$K,7,0)</f>
        <v>#N/A</v>
      </c>
      <c r="G82" s="122" t="e">
        <f>VLOOKUP(CONCATENATE("PozdniKonecProcenta_",[1]DATA!$U$1),[1]DATA!$A:$K,8,0)</f>
        <v>#N/A</v>
      </c>
      <c r="H82" s="123" t="e">
        <f>VLOOKUP(CONCATENATE("PozdniKonecProcenta_",[1]DATA!$U$1),[1]DATA!$A:$K,9,0)</f>
        <v>#N/A</v>
      </c>
      <c r="I82" s="123" t="e">
        <f>VLOOKUP(CONCATENATE("PozdniKonecProcenta_",[1]DATA!$U$1),[1]DATA!$A:$K,10,0)</f>
        <v>#N/A</v>
      </c>
      <c r="J82" s="124" t="e">
        <f>VLOOKUP(CONCATENATE("PozdniKonecProcenta_",[1]DATA!$U$1),[1]DATA!$A:$K,11,0)</f>
        <v>#N/A</v>
      </c>
    </row>
  </sheetData>
  <mergeCells count="2">
    <mergeCell ref="B26:H27"/>
    <mergeCell ref="B77:H78"/>
  </mergeCells>
  <pageMargins left="0.7" right="0.7" top="0.78740157499999996" bottom="0.78740157499999996" header="0.3" footer="0.3"/>
  <pageSetup paperSize="9"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319B5-2E7B-4211-8D86-6DAE0F5E3257}">
  <dimension ref="A1:U37"/>
  <sheetViews>
    <sheetView workbookViewId="0">
      <selection sqref="A1:L50"/>
    </sheetView>
  </sheetViews>
  <sheetFormatPr defaultRowHeight="14.4" x14ac:dyDescent="0.3"/>
  <cols>
    <col min="1" max="1" width="30.6640625" bestFit="1" customWidth="1"/>
    <col min="2" max="2" width="24.6640625" bestFit="1" customWidth="1"/>
    <col min="16" max="16" width="13.5546875" bestFit="1" customWidth="1"/>
  </cols>
  <sheetData>
    <row r="1" spans="1:21" x14ac:dyDescent="0.3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1</v>
      </c>
      <c r="I1" t="s">
        <v>2</v>
      </c>
      <c r="J1" t="s">
        <v>3</v>
      </c>
      <c r="K1" t="s">
        <v>4</v>
      </c>
      <c r="N1" t="s">
        <v>1</v>
      </c>
      <c r="O1">
        <f ca="1">(MONTH(TODAY()))</f>
        <v>12</v>
      </c>
      <c r="P1" t="str">
        <f ca="1">CONCATENATE(VLOOKUP(O1,R:S,2,0)," ",YEAR(TODAY()))</f>
        <v>prosinec 2024</v>
      </c>
      <c r="R1">
        <v>1</v>
      </c>
      <c r="S1" t="s">
        <v>5</v>
      </c>
      <c r="U1" s="1" t="s">
        <v>68</v>
      </c>
    </row>
    <row r="2" spans="1:21" x14ac:dyDescent="0.3">
      <c r="A2" t="s">
        <v>32</v>
      </c>
      <c r="B2" t="s">
        <v>33</v>
      </c>
      <c r="C2" t="s">
        <v>27</v>
      </c>
      <c r="D2">
        <v>43.1</v>
      </c>
      <c r="E2">
        <v>41.78</v>
      </c>
      <c r="F2">
        <v>44.9</v>
      </c>
      <c r="G2">
        <v>43.6</v>
      </c>
      <c r="H2">
        <v>42.92</v>
      </c>
      <c r="I2">
        <v>42.36</v>
      </c>
      <c r="J2">
        <v>42.73</v>
      </c>
      <c r="K2">
        <v>42.5</v>
      </c>
      <c r="N2" t="s">
        <v>2</v>
      </c>
      <c r="O2">
        <f t="shared" ref="O2" ca="1" si="0">(MONTH(TODAY())-1)</f>
        <v>11</v>
      </c>
      <c r="P2" t="str">
        <f ca="1">CONCATENATE(VLOOKUP(O2,R:S,2,0)," ",YEAR(TODAY()))</f>
        <v>listopad 2024</v>
      </c>
      <c r="R2">
        <v>2</v>
      </c>
      <c r="S2" t="s">
        <v>6</v>
      </c>
      <c r="U2" s="2" t="s">
        <v>0</v>
      </c>
    </row>
    <row r="3" spans="1:21" x14ac:dyDescent="0.3">
      <c r="A3" t="s">
        <v>69</v>
      </c>
      <c r="B3" t="s">
        <v>33</v>
      </c>
      <c r="C3" t="s">
        <v>68</v>
      </c>
      <c r="D3">
        <v>45.07</v>
      </c>
      <c r="E3">
        <v>47.47</v>
      </c>
      <c r="F3">
        <v>47.42</v>
      </c>
      <c r="G3">
        <v>47.62</v>
      </c>
      <c r="H3">
        <v>44.15</v>
      </c>
      <c r="I3">
        <v>47.71</v>
      </c>
      <c r="J3">
        <v>44.78</v>
      </c>
      <c r="K3">
        <v>47.35</v>
      </c>
      <c r="N3" t="s">
        <v>3</v>
      </c>
      <c r="O3">
        <f ca="1">(MONTH(TODAY())-2)</f>
        <v>10</v>
      </c>
      <c r="P3" t="str">
        <f ca="1">CONCATENATE(VLOOKUP(O3,R:S,2,0)," ",YEAR(TODAY()))</f>
        <v>říjen 2024</v>
      </c>
      <c r="R3">
        <v>3</v>
      </c>
      <c r="S3" t="s">
        <v>7</v>
      </c>
    </row>
    <row r="4" spans="1:21" x14ac:dyDescent="0.3">
      <c r="A4" t="s">
        <v>70</v>
      </c>
      <c r="B4" t="s">
        <v>34</v>
      </c>
      <c r="C4" t="s">
        <v>68</v>
      </c>
      <c r="D4">
        <v>52.25</v>
      </c>
      <c r="E4">
        <v>54.54</v>
      </c>
      <c r="F4">
        <v>54.32</v>
      </c>
      <c r="G4">
        <v>55.19</v>
      </c>
      <c r="H4">
        <v>50.63</v>
      </c>
      <c r="I4">
        <v>55.88</v>
      </c>
      <c r="J4">
        <v>52.88</v>
      </c>
      <c r="K4">
        <v>54.96</v>
      </c>
      <c r="N4" t="s">
        <v>4</v>
      </c>
      <c r="O4">
        <f ca="1">(MONTH(TODAY())-3)</f>
        <v>9</v>
      </c>
      <c r="P4" t="str">
        <f ca="1">CONCATENATE(VLOOKUP(O4,R:S,2,0)," ",YEAR(TODAY()))</f>
        <v>září 2024</v>
      </c>
      <c r="R4">
        <v>4</v>
      </c>
      <c r="S4" t="s">
        <v>8</v>
      </c>
    </row>
    <row r="5" spans="1:21" x14ac:dyDescent="0.3">
      <c r="A5" t="s">
        <v>35</v>
      </c>
      <c r="B5" t="s">
        <v>34</v>
      </c>
      <c r="C5" t="s">
        <v>27</v>
      </c>
      <c r="D5">
        <v>50.14</v>
      </c>
      <c r="E5">
        <v>48.51</v>
      </c>
      <c r="F5">
        <v>51.67</v>
      </c>
      <c r="G5">
        <v>50.17</v>
      </c>
      <c r="H5">
        <v>49.85</v>
      </c>
      <c r="I5">
        <v>50.3</v>
      </c>
      <c r="J5">
        <v>49.96</v>
      </c>
      <c r="K5">
        <v>48.38</v>
      </c>
      <c r="R5">
        <v>5</v>
      </c>
      <c r="S5" t="s">
        <v>9</v>
      </c>
    </row>
    <row r="6" spans="1:21" x14ac:dyDescent="0.3">
      <c r="A6" t="s">
        <v>71</v>
      </c>
      <c r="B6" t="s">
        <v>36</v>
      </c>
      <c r="C6" t="s">
        <v>68</v>
      </c>
      <c r="D6">
        <v>76.3</v>
      </c>
      <c r="E6">
        <v>78.680000000000007</v>
      </c>
      <c r="F6">
        <v>79.05</v>
      </c>
      <c r="G6">
        <v>81.2</v>
      </c>
      <c r="H6">
        <v>73.510000000000005</v>
      </c>
      <c r="I6">
        <v>81.87</v>
      </c>
      <c r="J6">
        <v>80.489999999999995</v>
      </c>
      <c r="K6">
        <v>81.66</v>
      </c>
      <c r="R6">
        <v>6</v>
      </c>
      <c r="S6" t="s">
        <v>10</v>
      </c>
    </row>
    <row r="7" spans="1:21" x14ac:dyDescent="0.3">
      <c r="A7" t="s">
        <v>37</v>
      </c>
      <c r="B7" t="s">
        <v>36</v>
      </c>
      <c r="C7" t="s">
        <v>27</v>
      </c>
      <c r="D7">
        <v>68.25</v>
      </c>
      <c r="E7">
        <v>66.069999999999993</v>
      </c>
      <c r="F7">
        <v>70.040000000000006</v>
      </c>
      <c r="G7">
        <v>67.09</v>
      </c>
      <c r="H7">
        <v>68.41</v>
      </c>
      <c r="I7">
        <v>68.86</v>
      </c>
      <c r="J7">
        <v>68.03</v>
      </c>
      <c r="K7">
        <v>66.03</v>
      </c>
      <c r="R7">
        <v>7</v>
      </c>
      <c r="S7" t="s">
        <v>11</v>
      </c>
    </row>
    <row r="8" spans="1:21" x14ac:dyDescent="0.3">
      <c r="A8" t="s">
        <v>72</v>
      </c>
      <c r="B8" t="s">
        <v>38</v>
      </c>
      <c r="C8" t="s">
        <v>68</v>
      </c>
      <c r="D8">
        <v>18.57</v>
      </c>
      <c r="E8">
        <v>18.98</v>
      </c>
      <c r="F8">
        <v>20.64</v>
      </c>
      <c r="G8">
        <v>21.11</v>
      </c>
      <c r="H8">
        <v>17</v>
      </c>
      <c r="I8">
        <v>20.7</v>
      </c>
      <c r="J8">
        <v>22.31</v>
      </c>
      <c r="K8">
        <v>27.52</v>
      </c>
      <c r="R8">
        <v>8</v>
      </c>
      <c r="S8" t="s">
        <v>12</v>
      </c>
    </row>
    <row r="9" spans="1:21" x14ac:dyDescent="0.3">
      <c r="A9" t="s">
        <v>39</v>
      </c>
      <c r="B9" t="s">
        <v>38</v>
      </c>
      <c r="C9" t="s">
        <v>27</v>
      </c>
      <c r="D9">
        <v>15.72</v>
      </c>
      <c r="E9">
        <v>14.97</v>
      </c>
      <c r="F9">
        <v>17.100000000000001</v>
      </c>
      <c r="G9">
        <v>16.03</v>
      </c>
      <c r="H9">
        <v>15.57</v>
      </c>
      <c r="I9">
        <v>18.16</v>
      </c>
      <c r="J9">
        <v>17.46</v>
      </c>
      <c r="K9">
        <v>16.47</v>
      </c>
      <c r="R9">
        <v>9</v>
      </c>
      <c r="S9" t="s">
        <v>13</v>
      </c>
    </row>
    <row r="10" spans="1:21" x14ac:dyDescent="0.3">
      <c r="A10" t="s">
        <v>73</v>
      </c>
      <c r="B10" t="s">
        <v>40</v>
      </c>
      <c r="C10" t="s">
        <v>68</v>
      </c>
      <c r="D10">
        <v>85.83</v>
      </c>
      <c r="E10">
        <v>80.459999999999994</v>
      </c>
      <c r="F10">
        <v>79.45</v>
      </c>
      <c r="G10">
        <v>79.510000000000005</v>
      </c>
      <c r="H10">
        <v>88.89</v>
      </c>
      <c r="I10">
        <v>93.22</v>
      </c>
      <c r="J10">
        <v>89.86</v>
      </c>
      <c r="K10">
        <v>87.72</v>
      </c>
      <c r="R10">
        <v>10</v>
      </c>
      <c r="S10" t="s">
        <v>14</v>
      </c>
    </row>
    <row r="11" spans="1:21" x14ac:dyDescent="0.3">
      <c r="A11" t="s">
        <v>41</v>
      </c>
      <c r="B11" t="s">
        <v>40</v>
      </c>
      <c r="C11" t="s">
        <v>27</v>
      </c>
      <c r="D11">
        <v>91.69</v>
      </c>
      <c r="E11">
        <v>87.07</v>
      </c>
      <c r="F11">
        <v>84.1</v>
      </c>
      <c r="G11">
        <v>76.89</v>
      </c>
      <c r="H11">
        <v>77.78</v>
      </c>
      <c r="I11">
        <v>80.7</v>
      </c>
      <c r="J11">
        <v>81.64</v>
      </c>
      <c r="K11">
        <v>79.53</v>
      </c>
      <c r="R11">
        <v>11</v>
      </c>
      <c r="S11" t="s">
        <v>15</v>
      </c>
    </row>
    <row r="12" spans="1:21" x14ac:dyDescent="0.3">
      <c r="A12" t="s">
        <v>74</v>
      </c>
      <c r="B12" t="s">
        <v>42</v>
      </c>
      <c r="C12" t="s">
        <v>68</v>
      </c>
      <c r="D12">
        <v>17382</v>
      </c>
      <c r="E12">
        <v>16415</v>
      </c>
      <c r="F12">
        <v>15486</v>
      </c>
      <c r="G12">
        <v>12655</v>
      </c>
      <c r="H12">
        <v>472</v>
      </c>
      <c r="I12">
        <v>1149</v>
      </c>
      <c r="J12">
        <v>1503</v>
      </c>
      <c r="K12">
        <v>1063</v>
      </c>
      <c r="R12">
        <v>12</v>
      </c>
      <c r="S12" t="s">
        <v>16</v>
      </c>
    </row>
    <row r="13" spans="1:21" x14ac:dyDescent="0.3">
      <c r="A13" t="s">
        <v>43</v>
      </c>
      <c r="B13" t="s">
        <v>42</v>
      </c>
      <c r="C13" t="s">
        <v>27</v>
      </c>
      <c r="D13">
        <v>171929</v>
      </c>
      <c r="E13">
        <v>202603</v>
      </c>
      <c r="F13">
        <v>182111</v>
      </c>
      <c r="G13">
        <v>234292</v>
      </c>
      <c r="H13">
        <v>4462</v>
      </c>
      <c r="I13">
        <v>21424</v>
      </c>
      <c r="J13">
        <v>24048</v>
      </c>
      <c r="K13">
        <v>18719</v>
      </c>
    </row>
    <row r="14" spans="1:21" x14ac:dyDescent="0.3">
      <c r="A14" t="s">
        <v>44</v>
      </c>
      <c r="B14" t="s">
        <v>45</v>
      </c>
      <c r="C14" t="s">
        <v>27</v>
      </c>
      <c r="D14">
        <v>4102</v>
      </c>
      <c r="E14">
        <v>3812</v>
      </c>
      <c r="F14">
        <v>4390</v>
      </c>
      <c r="G14">
        <v>5281</v>
      </c>
      <c r="H14">
        <v>77</v>
      </c>
      <c r="I14">
        <v>531</v>
      </c>
      <c r="J14">
        <v>547</v>
      </c>
      <c r="K14">
        <v>443</v>
      </c>
    </row>
    <row r="15" spans="1:21" x14ac:dyDescent="0.3">
      <c r="A15" t="s">
        <v>75</v>
      </c>
      <c r="B15" t="s">
        <v>45</v>
      </c>
      <c r="C15" t="s">
        <v>68</v>
      </c>
      <c r="D15">
        <v>515</v>
      </c>
      <c r="E15">
        <v>416</v>
      </c>
      <c r="F15">
        <v>495</v>
      </c>
      <c r="G15">
        <v>520</v>
      </c>
      <c r="H15">
        <v>8</v>
      </c>
      <c r="I15">
        <v>55</v>
      </c>
      <c r="J15">
        <v>62</v>
      </c>
      <c r="K15">
        <v>50</v>
      </c>
    </row>
    <row r="16" spans="1:21" x14ac:dyDescent="0.3">
      <c r="A16" t="s">
        <v>76</v>
      </c>
      <c r="B16" t="s">
        <v>46</v>
      </c>
      <c r="C16" t="s">
        <v>68</v>
      </c>
      <c r="D16">
        <v>22.83</v>
      </c>
      <c r="E16">
        <v>28.24</v>
      </c>
      <c r="F16">
        <v>27.13</v>
      </c>
      <c r="G16">
        <v>32.72</v>
      </c>
      <c r="H16">
        <v>33.33</v>
      </c>
      <c r="I16">
        <v>30.51</v>
      </c>
      <c r="J16">
        <v>26.09</v>
      </c>
      <c r="K16">
        <v>28.07</v>
      </c>
    </row>
    <row r="17" spans="1:11" x14ac:dyDescent="0.3">
      <c r="A17" t="s">
        <v>47</v>
      </c>
      <c r="B17" t="s">
        <v>46</v>
      </c>
      <c r="C17" t="s">
        <v>27</v>
      </c>
      <c r="D17">
        <v>21.48</v>
      </c>
      <c r="E17">
        <v>22.29</v>
      </c>
      <c r="F17">
        <v>23.75</v>
      </c>
      <c r="G17">
        <v>21.11</v>
      </c>
      <c r="H17">
        <v>26.26</v>
      </c>
      <c r="I17">
        <v>22.04</v>
      </c>
      <c r="J17">
        <v>21.49</v>
      </c>
      <c r="K17">
        <v>17.77</v>
      </c>
    </row>
    <row r="18" spans="1:11" x14ac:dyDescent="0.3">
      <c r="A18" t="s">
        <v>77</v>
      </c>
      <c r="B18" t="s">
        <v>48</v>
      </c>
      <c r="C18" t="s">
        <v>68</v>
      </c>
      <c r="D18">
        <v>6637</v>
      </c>
      <c r="E18">
        <v>6785</v>
      </c>
      <c r="F18">
        <v>6417</v>
      </c>
      <c r="G18">
        <v>9597</v>
      </c>
      <c r="H18">
        <v>85</v>
      </c>
      <c r="I18">
        <v>995</v>
      </c>
      <c r="J18">
        <v>877</v>
      </c>
      <c r="K18">
        <v>547</v>
      </c>
    </row>
    <row r="19" spans="1:11" x14ac:dyDescent="0.3">
      <c r="A19" t="s">
        <v>49</v>
      </c>
      <c r="B19" t="s">
        <v>48</v>
      </c>
      <c r="C19" t="s">
        <v>27</v>
      </c>
      <c r="D19">
        <v>51235</v>
      </c>
      <c r="E19">
        <v>48241</v>
      </c>
      <c r="F19">
        <v>57812</v>
      </c>
      <c r="G19">
        <v>68096</v>
      </c>
      <c r="H19">
        <v>1207</v>
      </c>
      <c r="I19">
        <v>7323</v>
      </c>
      <c r="J19">
        <v>6504</v>
      </c>
      <c r="K19">
        <v>4278</v>
      </c>
    </row>
    <row r="20" spans="1:11" x14ac:dyDescent="0.3">
      <c r="A20" t="s">
        <v>50</v>
      </c>
      <c r="B20" t="s">
        <v>51</v>
      </c>
      <c r="C20" t="s">
        <v>27</v>
      </c>
      <c r="D20">
        <v>961</v>
      </c>
      <c r="E20">
        <v>976</v>
      </c>
      <c r="F20">
        <v>1240</v>
      </c>
      <c r="G20">
        <v>1450</v>
      </c>
      <c r="H20">
        <v>26</v>
      </c>
      <c r="I20">
        <v>145</v>
      </c>
      <c r="J20">
        <v>144</v>
      </c>
      <c r="K20">
        <v>99</v>
      </c>
    </row>
    <row r="21" spans="1:11" x14ac:dyDescent="0.3">
      <c r="A21" t="s">
        <v>78</v>
      </c>
      <c r="B21" t="s">
        <v>51</v>
      </c>
      <c r="C21" t="s">
        <v>68</v>
      </c>
      <c r="D21">
        <v>137</v>
      </c>
      <c r="E21">
        <v>146</v>
      </c>
      <c r="F21">
        <v>169</v>
      </c>
      <c r="G21">
        <v>214</v>
      </c>
      <c r="H21">
        <v>3</v>
      </c>
      <c r="I21">
        <v>18</v>
      </c>
      <c r="J21">
        <v>18</v>
      </c>
      <c r="K21">
        <v>16</v>
      </c>
    </row>
    <row r="22" spans="1:11" x14ac:dyDescent="0.3">
      <c r="A22" t="s">
        <v>79</v>
      </c>
      <c r="B22" t="s">
        <v>52</v>
      </c>
      <c r="C22" t="s">
        <v>68</v>
      </c>
      <c r="D22">
        <v>600</v>
      </c>
      <c r="E22">
        <v>517</v>
      </c>
      <c r="F22">
        <v>623</v>
      </c>
      <c r="G22">
        <v>654</v>
      </c>
      <c r="H22">
        <v>9</v>
      </c>
      <c r="I22">
        <v>59</v>
      </c>
      <c r="J22">
        <v>69</v>
      </c>
      <c r="K22">
        <v>57</v>
      </c>
    </row>
    <row r="23" spans="1:11" x14ac:dyDescent="0.3">
      <c r="A23" t="s">
        <v>53</v>
      </c>
      <c r="B23" t="s">
        <v>52</v>
      </c>
      <c r="C23" t="s">
        <v>27</v>
      </c>
      <c r="D23">
        <v>4474</v>
      </c>
      <c r="E23">
        <v>4378</v>
      </c>
      <c r="F23">
        <v>5220</v>
      </c>
      <c r="G23">
        <v>6868</v>
      </c>
      <c r="H23">
        <v>99</v>
      </c>
      <c r="I23">
        <v>658</v>
      </c>
      <c r="J23">
        <v>670</v>
      </c>
      <c r="K23">
        <v>557</v>
      </c>
    </row>
    <row r="24" spans="1:11" x14ac:dyDescent="0.3">
      <c r="A24" t="s">
        <v>54</v>
      </c>
      <c r="B24" t="s">
        <v>55</v>
      </c>
      <c r="C24" t="s">
        <v>27</v>
      </c>
      <c r="D24">
        <v>72.91</v>
      </c>
      <c r="E24">
        <v>67.34</v>
      </c>
      <c r="F24">
        <v>62.97</v>
      </c>
      <c r="G24">
        <v>58.71</v>
      </c>
      <c r="H24">
        <v>57.58</v>
      </c>
      <c r="I24">
        <v>59.57</v>
      </c>
      <c r="J24">
        <v>63.58</v>
      </c>
      <c r="K24">
        <v>59.25</v>
      </c>
    </row>
    <row r="25" spans="1:11" x14ac:dyDescent="0.3">
      <c r="A25" t="s">
        <v>80</v>
      </c>
      <c r="B25" t="s">
        <v>55</v>
      </c>
      <c r="C25" t="s">
        <v>68</v>
      </c>
      <c r="D25">
        <v>49.5</v>
      </c>
      <c r="E25">
        <v>40.04</v>
      </c>
      <c r="F25">
        <v>34.19</v>
      </c>
      <c r="G25">
        <v>34.71</v>
      </c>
      <c r="H25">
        <v>33.33</v>
      </c>
      <c r="I25">
        <v>28.81</v>
      </c>
      <c r="J25">
        <v>44.93</v>
      </c>
      <c r="K25">
        <v>35.090000000000003</v>
      </c>
    </row>
    <row r="26" spans="1:11" x14ac:dyDescent="0.3">
      <c r="A26" t="s">
        <v>81</v>
      </c>
      <c r="B26" t="s">
        <v>56</v>
      </c>
      <c r="C26" t="s">
        <v>68</v>
      </c>
      <c r="D26">
        <v>11908</v>
      </c>
      <c r="E26">
        <v>11290</v>
      </c>
      <c r="F26">
        <v>8705</v>
      </c>
      <c r="G26">
        <v>5348</v>
      </c>
      <c r="H26">
        <v>383</v>
      </c>
      <c r="I26">
        <v>358</v>
      </c>
      <c r="J26">
        <v>558</v>
      </c>
      <c r="K26">
        <v>321</v>
      </c>
    </row>
    <row r="27" spans="1:11" x14ac:dyDescent="0.3">
      <c r="A27" t="s">
        <v>57</v>
      </c>
      <c r="B27" t="s">
        <v>56</v>
      </c>
      <c r="C27" t="s">
        <v>27</v>
      </c>
      <c r="D27">
        <v>148115</v>
      </c>
      <c r="E27">
        <v>181299</v>
      </c>
      <c r="F27">
        <v>155935</v>
      </c>
      <c r="G27">
        <v>203444</v>
      </c>
      <c r="H27">
        <v>4040</v>
      </c>
      <c r="I27">
        <v>18147</v>
      </c>
      <c r="J27">
        <v>20246</v>
      </c>
      <c r="K27">
        <v>15301</v>
      </c>
    </row>
    <row r="28" spans="1:11" x14ac:dyDescent="0.3">
      <c r="A28" t="s">
        <v>58</v>
      </c>
      <c r="B28" t="s">
        <v>59</v>
      </c>
      <c r="C28" t="s">
        <v>27</v>
      </c>
      <c r="D28">
        <v>3262</v>
      </c>
      <c r="E28">
        <v>2948</v>
      </c>
      <c r="F28">
        <v>3287</v>
      </c>
      <c r="G28">
        <v>4032</v>
      </c>
      <c r="H28">
        <v>57</v>
      </c>
      <c r="I28">
        <v>392</v>
      </c>
      <c r="J28">
        <v>426</v>
      </c>
      <c r="K28">
        <v>330</v>
      </c>
    </row>
    <row r="29" spans="1:11" x14ac:dyDescent="0.3">
      <c r="A29" t="s">
        <v>82</v>
      </c>
      <c r="B29" t="s">
        <v>59</v>
      </c>
      <c r="C29" t="s">
        <v>68</v>
      </c>
      <c r="D29">
        <v>297</v>
      </c>
      <c r="E29">
        <v>207</v>
      </c>
      <c r="F29">
        <v>213</v>
      </c>
      <c r="G29">
        <v>227</v>
      </c>
      <c r="H29">
        <v>3</v>
      </c>
      <c r="I29">
        <v>17</v>
      </c>
      <c r="J29">
        <v>31</v>
      </c>
      <c r="K29">
        <v>20</v>
      </c>
    </row>
    <row r="30" spans="1:11" x14ac:dyDescent="0.3">
      <c r="A30" t="s">
        <v>83</v>
      </c>
      <c r="B30" t="s">
        <v>60</v>
      </c>
      <c r="C30" t="s">
        <v>68</v>
      </c>
      <c r="D30">
        <v>77.17</v>
      </c>
      <c r="E30">
        <v>71.760000000000005</v>
      </c>
      <c r="F30">
        <v>73.349999999999994</v>
      </c>
      <c r="G30">
        <v>67.58</v>
      </c>
      <c r="H30">
        <v>66.67</v>
      </c>
      <c r="I30">
        <v>69.489999999999995</v>
      </c>
      <c r="J30">
        <v>73.91</v>
      </c>
      <c r="K30">
        <v>71.930000000000007</v>
      </c>
    </row>
    <row r="31" spans="1:11" x14ac:dyDescent="0.3">
      <c r="A31" t="s">
        <v>61</v>
      </c>
      <c r="B31" t="s">
        <v>60</v>
      </c>
      <c r="C31" t="s">
        <v>27</v>
      </c>
      <c r="D31">
        <v>78.59</v>
      </c>
      <c r="E31">
        <v>77.75</v>
      </c>
      <c r="F31">
        <v>76.36</v>
      </c>
      <c r="G31">
        <v>79.08</v>
      </c>
      <c r="H31">
        <v>73.739999999999995</v>
      </c>
      <c r="I31">
        <v>78.27</v>
      </c>
      <c r="J31">
        <v>78.66</v>
      </c>
      <c r="K31">
        <v>82.76</v>
      </c>
    </row>
    <row r="32" spans="1:11" x14ac:dyDescent="0.3">
      <c r="A32" t="s">
        <v>84</v>
      </c>
      <c r="B32" t="s">
        <v>62</v>
      </c>
      <c r="C32" t="s">
        <v>68</v>
      </c>
      <c r="D32">
        <v>30815</v>
      </c>
      <c r="E32">
        <v>21149</v>
      </c>
      <c r="F32">
        <v>23142</v>
      </c>
      <c r="G32">
        <v>19690</v>
      </c>
      <c r="H32">
        <v>443</v>
      </c>
      <c r="I32">
        <v>1550</v>
      </c>
      <c r="J32">
        <v>2283</v>
      </c>
      <c r="K32">
        <v>1878</v>
      </c>
    </row>
    <row r="33" spans="1:11" x14ac:dyDescent="0.3">
      <c r="A33" t="s">
        <v>63</v>
      </c>
      <c r="B33" t="s">
        <v>62</v>
      </c>
      <c r="C33" t="s">
        <v>27</v>
      </c>
      <c r="D33">
        <v>377991</v>
      </c>
      <c r="E33">
        <v>389243</v>
      </c>
      <c r="F33">
        <v>383599</v>
      </c>
      <c r="G33">
        <v>554850</v>
      </c>
      <c r="H33">
        <v>7502</v>
      </c>
      <c r="I33">
        <v>48923</v>
      </c>
      <c r="J33">
        <v>52086</v>
      </c>
      <c r="K33">
        <v>50761</v>
      </c>
    </row>
    <row r="34" spans="1:11" x14ac:dyDescent="0.3">
      <c r="A34" t="s">
        <v>85</v>
      </c>
      <c r="B34" t="s">
        <v>64</v>
      </c>
      <c r="C34" t="s">
        <v>68</v>
      </c>
      <c r="D34">
        <v>463</v>
      </c>
      <c r="E34">
        <v>371</v>
      </c>
      <c r="F34">
        <v>457</v>
      </c>
      <c r="G34">
        <v>442</v>
      </c>
      <c r="H34">
        <v>6</v>
      </c>
      <c r="I34">
        <v>41</v>
      </c>
      <c r="J34">
        <v>51</v>
      </c>
      <c r="K34">
        <v>41</v>
      </c>
    </row>
    <row r="35" spans="1:11" x14ac:dyDescent="0.3">
      <c r="A35" t="s">
        <v>65</v>
      </c>
      <c r="B35" t="s">
        <v>64</v>
      </c>
      <c r="C35" t="s">
        <v>27</v>
      </c>
      <c r="D35">
        <v>3516</v>
      </c>
      <c r="E35">
        <v>3404</v>
      </c>
      <c r="F35">
        <v>3986</v>
      </c>
      <c r="G35">
        <v>5431</v>
      </c>
      <c r="H35">
        <v>73</v>
      </c>
      <c r="I35">
        <v>515</v>
      </c>
      <c r="J35">
        <v>527</v>
      </c>
      <c r="K35">
        <v>461</v>
      </c>
    </row>
    <row r="36" spans="1:11" x14ac:dyDescent="0.3">
      <c r="A36" t="s">
        <v>66</v>
      </c>
      <c r="B36" t="s">
        <v>67</v>
      </c>
      <c r="C36" t="s">
        <v>27</v>
      </c>
      <c r="D36">
        <v>13212</v>
      </c>
      <c r="E36">
        <v>12523</v>
      </c>
      <c r="F36">
        <v>16638</v>
      </c>
      <c r="G36">
        <v>24083</v>
      </c>
      <c r="H36">
        <v>347</v>
      </c>
      <c r="I36">
        <v>2371</v>
      </c>
      <c r="J36">
        <v>2385</v>
      </c>
      <c r="K36">
        <v>1898</v>
      </c>
    </row>
    <row r="37" spans="1:11" x14ac:dyDescent="0.3">
      <c r="A37" t="s">
        <v>86</v>
      </c>
      <c r="B37" t="s">
        <v>67</v>
      </c>
      <c r="C37" t="s">
        <v>68</v>
      </c>
      <c r="D37">
        <v>1855</v>
      </c>
      <c r="E37">
        <v>1552</v>
      </c>
      <c r="F37">
        <v>1977</v>
      </c>
      <c r="G37">
        <v>2160</v>
      </c>
      <c r="H37">
        <v>24</v>
      </c>
      <c r="I37">
        <v>194</v>
      </c>
      <c r="J37">
        <v>229</v>
      </c>
      <c r="K37">
        <v>188</v>
      </c>
    </row>
  </sheetData>
  <phoneticPr fontId="3" type="noConversion"/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strana1</vt:lpstr>
      <vt:lpstr>strana2</vt:lpstr>
      <vt:lpstr>strana3</vt:lpstr>
      <vt:lpstr>DATA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Karásek Petr, Bc.</cp:lastModifiedBy>
  <cp:lastPrinted>2024-12-05T12:52:40Z</cp:lastPrinted>
  <dcterms:created xsi:type="dcterms:W3CDTF">2022-08-08T07:49:33Z</dcterms:created>
  <dcterms:modified xsi:type="dcterms:W3CDTF">2024-12-05T12:52:40Z</dcterms:modified>
</cp:coreProperties>
</file>