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2F926ECF-5B00-4FEF-937C-BB9DB2F74103}" xr6:coauthVersionLast="36" xr6:coauthVersionMax="36" xr10:uidLastSave="{00000000-0000-0000-0000-000000000000}"/>
  <bookViews>
    <workbookView xWindow="0" yWindow="0" windowWidth="26385" windowHeight="13395" xr2:uid="{6F59EBE7-CD83-4E45-B8B9-9A5D462A9041}"/>
  </bookViews>
  <sheets>
    <sheet name="List2" sheetId="2" r:id="rId1"/>
    <sheet name="List1" sheetId="1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2" l="1"/>
  <c r="AB36" i="2"/>
  <c r="AA37" i="2"/>
  <c r="AB37" i="2"/>
  <c r="AA38" i="2"/>
  <c r="AB38" i="2"/>
  <c r="AA39" i="2"/>
  <c r="AB39" i="2"/>
  <c r="AA40" i="2"/>
  <c r="AB40" i="2"/>
  <c r="AA28" i="2"/>
  <c r="AB28" i="2"/>
  <c r="AA29" i="2"/>
  <c r="AB29" i="2"/>
  <c r="AA30" i="2"/>
  <c r="AB30" i="2"/>
  <c r="AA31" i="2"/>
  <c r="AB31" i="2"/>
  <c r="AA32" i="2"/>
  <c r="AB32" i="2"/>
  <c r="AA33" i="2"/>
  <c r="AB33" i="2"/>
  <c r="AA34" i="2"/>
  <c r="AB34" i="2"/>
  <c r="AB27" i="2"/>
  <c r="AA27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B40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B39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B38" i="2"/>
  <c r="B37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B36" i="2"/>
  <c r="M19" i="2"/>
  <c r="L19" i="2"/>
  <c r="K19" i="2"/>
  <c r="J19" i="2"/>
  <c r="I19" i="2"/>
  <c r="H19" i="2"/>
  <c r="G19" i="2"/>
  <c r="F19" i="2"/>
  <c r="E19" i="2"/>
  <c r="D19" i="2"/>
  <c r="C19" i="2"/>
  <c r="B19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Y19" i="2"/>
  <c r="X19" i="2"/>
  <c r="W19" i="2"/>
  <c r="V19" i="2"/>
  <c r="U19" i="2"/>
  <c r="T19" i="2"/>
  <c r="S19" i="2"/>
  <c r="R19" i="2"/>
  <c r="Q19" i="2"/>
  <c r="P19" i="2"/>
  <c r="O19" i="2"/>
  <c r="N19" i="2"/>
  <c r="Y17" i="2"/>
  <c r="X17" i="2"/>
  <c r="W17" i="2"/>
  <c r="V17" i="2"/>
  <c r="U17" i="2"/>
  <c r="T17" i="2"/>
  <c r="S17" i="2"/>
  <c r="R17" i="2"/>
  <c r="Q17" i="2"/>
  <c r="P17" i="2"/>
  <c r="O17" i="2"/>
  <c r="N17" i="2"/>
  <c r="Y16" i="2"/>
  <c r="X16" i="2"/>
  <c r="W16" i="2"/>
  <c r="V16" i="2"/>
  <c r="U16" i="2"/>
  <c r="T16" i="2"/>
  <c r="S16" i="2"/>
  <c r="R16" i="2"/>
  <c r="Q16" i="2"/>
  <c r="P16" i="2"/>
  <c r="O16" i="2"/>
  <c r="N16" i="2"/>
</calcChain>
</file>

<file path=xl/sharedStrings.xml><?xml version="1.0" encoding="utf-8"?>
<sst xmlns="http://schemas.openxmlformats.org/spreadsheetml/2006/main" count="83" uniqueCount="21">
  <si>
    <t>rok</t>
  </si>
  <si>
    <t>MesV</t>
  </si>
  <si>
    <t>alfa</t>
  </si>
  <si>
    <t>PP</t>
  </si>
  <si>
    <t>CM</t>
  </si>
  <si>
    <t>A</t>
  </si>
  <si>
    <t>C</t>
  </si>
  <si>
    <t>D</t>
  </si>
  <si>
    <t>E</t>
  </si>
  <si>
    <t>H</t>
  </si>
  <si>
    <t>B</t>
  </si>
  <si>
    <t>F</t>
  </si>
  <si>
    <t>Popisky sloupců</t>
  </si>
  <si>
    <t>Popisky řádků</t>
  </si>
  <si>
    <t>Celkový součet</t>
  </si>
  <si>
    <t>Součet z PP</t>
  </si>
  <si>
    <t>Součet z CM</t>
  </si>
  <si>
    <t>C,D,E,F</t>
  </si>
  <si>
    <t>B,G,H</t>
  </si>
  <si>
    <t>E,F</t>
  </si>
  <si>
    <t>CZ_DRG_FNOL_Přehled_Covid_pro 01_ZZ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</si>
</sst>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3" fontId="1" fillId="2" borderId="0" xfId="0" applyNumberFormat="1" applyFont="1" applyFill="1"/>
    <xf numFmtId="3" fontId="0" fillId="2" borderId="0" xfId="0" applyNumberFormat="1" applyFill="1"/>
    <xf numFmtId="4" fontId="0" fillId="2" borderId="0" xfId="0" applyNumberFormat="1" applyFill="1"/>
    <xf numFmtId="4" fontId="1" fillId="0" borderId="0" xfId="0" applyNumberFormat="1" applyFont="1"/>
    <xf numFmtId="0" fontId="1" fillId="0" borderId="0" xfId="0" applyFont="1"/>
  </cellXfs>
  <cellStyles count="1">
    <cellStyle name="Normální" xfId="0" builtinId="0"/>
  </cellStyles>
  <dxfs count="8"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949.537327199076" createdVersion="6" refreshedVersion="6" minRefreshableVersion="3" recordCount="43" xr:uid="{B8423542-16D9-4164-B488-F945E4CBFC73}">
  <cacheSource type="worksheet">
    <worksheetSource ref="A1:E44" sheet="List1"/>
  </cacheSource>
  <cacheFields count="5">
    <cacheField name="rok" numFmtId="0">
      <sharedItems containsSemiMixedTypes="0" containsString="0" containsNumber="1" containsInteger="1" minValue="2022" maxValue="2022"/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lfa" numFmtId="0">
      <sharedItems count="7">
        <s v="A"/>
        <s v="C"/>
        <s v="D"/>
        <s v="E"/>
        <s v="H"/>
        <s v="B"/>
        <s v="F"/>
      </sharedItems>
    </cacheField>
    <cacheField name="PP" numFmtId="0">
      <sharedItems containsSemiMixedTypes="0" containsString="0" containsNumber="1" containsInteger="1" minValue="1" maxValue="197"/>
    </cacheField>
    <cacheField name="CM" numFmtId="0">
      <sharedItems containsSemiMixedTypes="0" containsString="0" containsNumber="1" minValue="0.57299999999999995" maxValue="415.7468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2022"/>
    <x v="0"/>
    <x v="0"/>
    <n v="154"/>
    <n v="415.74680000000001"/>
  </r>
  <r>
    <n v="2022"/>
    <x v="0"/>
    <x v="1"/>
    <n v="2"/>
    <n v="2.6025"/>
  </r>
  <r>
    <n v="2022"/>
    <x v="0"/>
    <x v="2"/>
    <n v="8"/>
    <n v="21.0275"/>
  </r>
  <r>
    <n v="2022"/>
    <x v="0"/>
    <x v="3"/>
    <n v="6"/>
    <n v="4.6314000000000002"/>
  </r>
  <r>
    <n v="2022"/>
    <x v="0"/>
    <x v="4"/>
    <n v="8"/>
    <n v="12.5547"/>
  </r>
  <r>
    <n v="2022"/>
    <x v="1"/>
    <x v="0"/>
    <n v="197"/>
    <n v="355.43819999999999"/>
  </r>
  <r>
    <n v="2022"/>
    <x v="1"/>
    <x v="5"/>
    <n v="3"/>
    <n v="9.2774000000000001"/>
  </r>
  <r>
    <n v="2022"/>
    <x v="1"/>
    <x v="1"/>
    <n v="3"/>
    <n v="3.2481"/>
  </r>
  <r>
    <n v="2022"/>
    <x v="1"/>
    <x v="2"/>
    <n v="12"/>
    <n v="65.837699999999998"/>
  </r>
  <r>
    <n v="2022"/>
    <x v="1"/>
    <x v="3"/>
    <n v="8"/>
    <n v="6.2553999999999998"/>
  </r>
  <r>
    <n v="2022"/>
    <x v="1"/>
    <x v="4"/>
    <n v="17"/>
    <n v="45.766599999999997"/>
  </r>
  <r>
    <n v="2022"/>
    <x v="2"/>
    <x v="0"/>
    <n v="166"/>
    <n v="258.13729999999998"/>
  </r>
  <r>
    <n v="2022"/>
    <x v="2"/>
    <x v="1"/>
    <n v="2"/>
    <n v="4.0084"/>
  </r>
  <r>
    <n v="2022"/>
    <x v="2"/>
    <x v="2"/>
    <n v="9"/>
    <n v="23.7575"/>
  </r>
  <r>
    <n v="2022"/>
    <x v="2"/>
    <x v="3"/>
    <n v="2"/>
    <n v="1.8965000000000001"/>
  </r>
  <r>
    <n v="2022"/>
    <x v="2"/>
    <x v="4"/>
    <n v="1"/>
    <n v="1.8166"/>
  </r>
  <r>
    <n v="2022"/>
    <x v="3"/>
    <x v="0"/>
    <n v="90"/>
    <n v="175.39750000000001"/>
  </r>
  <r>
    <n v="2022"/>
    <x v="3"/>
    <x v="1"/>
    <n v="2"/>
    <n v="6.0316999999999998"/>
  </r>
  <r>
    <n v="2022"/>
    <x v="3"/>
    <x v="2"/>
    <n v="12"/>
    <n v="40.418300000000002"/>
  </r>
  <r>
    <n v="2022"/>
    <x v="3"/>
    <x v="3"/>
    <n v="2"/>
    <n v="1.1482000000000001"/>
  </r>
  <r>
    <n v="2022"/>
    <x v="4"/>
    <x v="0"/>
    <n v="25"/>
    <n v="89.440799999999996"/>
  </r>
  <r>
    <n v="2022"/>
    <x v="4"/>
    <x v="2"/>
    <n v="1"/>
    <n v="1.2796000000000001"/>
  </r>
  <r>
    <n v="2022"/>
    <x v="5"/>
    <x v="0"/>
    <n v="6"/>
    <n v="32.904600000000002"/>
  </r>
  <r>
    <n v="2022"/>
    <x v="5"/>
    <x v="2"/>
    <n v="1"/>
    <n v="4.5035999999999996"/>
  </r>
  <r>
    <n v="2022"/>
    <x v="6"/>
    <x v="0"/>
    <n v="19"/>
    <n v="28.435099999999998"/>
  </r>
  <r>
    <n v="2022"/>
    <x v="6"/>
    <x v="3"/>
    <n v="1"/>
    <n v="0.57410000000000005"/>
  </r>
  <r>
    <n v="2022"/>
    <x v="7"/>
    <x v="0"/>
    <n v="47"/>
    <n v="88.276399999999995"/>
  </r>
  <r>
    <n v="2022"/>
    <x v="7"/>
    <x v="5"/>
    <n v="2"/>
    <n v="12.322900000000001"/>
  </r>
  <r>
    <n v="2022"/>
    <x v="7"/>
    <x v="2"/>
    <n v="1"/>
    <n v="2.7934000000000001"/>
  </r>
  <r>
    <n v="2022"/>
    <x v="7"/>
    <x v="3"/>
    <n v="1"/>
    <n v="1.6262000000000001"/>
  </r>
  <r>
    <n v="2022"/>
    <x v="8"/>
    <x v="0"/>
    <n v="47"/>
    <n v="50.2438"/>
  </r>
  <r>
    <n v="2022"/>
    <x v="8"/>
    <x v="2"/>
    <n v="4"/>
    <n v="17.8353"/>
  </r>
  <r>
    <n v="2022"/>
    <x v="8"/>
    <x v="3"/>
    <n v="1"/>
    <n v="0.57299999999999995"/>
  </r>
  <r>
    <n v="2022"/>
    <x v="8"/>
    <x v="4"/>
    <n v="1"/>
    <n v="0.59240000000000004"/>
  </r>
  <r>
    <n v="2022"/>
    <x v="9"/>
    <x v="0"/>
    <n v="57"/>
    <n v="98.393000000000001"/>
  </r>
  <r>
    <n v="2022"/>
    <x v="9"/>
    <x v="2"/>
    <n v="2"/>
    <n v="6.6089000000000002"/>
  </r>
  <r>
    <n v="2022"/>
    <x v="9"/>
    <x v="3"/>
    <n v="1"/>
    <n v="0.57299999999999995"/>
  </r>
  <r>
    <n v="2022"/>
    <x v="9"/>
    <x v="6"/>
    <n v="1"/>
    <n v="4.4382999999999999"/>
  </r>
  <r>
    <n v="2022"/>
    <x v="9"/>
    <x v="4"/>
    <n v="1"/>
    <n v="0.59240000000000004"/>
  </r>
  <r>
    <n v="2022"/>
    <x v="10"/>
    <x v="0"/>
    <n v="33"/>
    <n v="68.548000000000002"/>
  </r>
  <r>
    <n v="2022"/>
    <x v="10"/>
    <x v="1"/>
    <n v="1"/>
    <n v="1.7968999999999999"/>
  </r>
  <r>
    <n v="2022"/>
    <x v="10"/>
    <x v="2"/>
    <n v="3"/>
    <n v="15.577400000000001"/>
  </r>
  <r>
    <n v="2022"/>
    <x v="11"/>
    <x v="0"/>
    <n v="36"/>
    <n v="62.0831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CA895D-C7F6-4695-8A2E-B54C724CFB57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Y13" firstHeaderRow="1" firstDataRow="3" firstDataCol="1"/>
  <pivotFields count="5"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8">
        <item x="0"/>
        <item x="5"/>
        <item x="1"/>
        <item x="2"/>
        <item x="3"/>
        <item x="6"/>
        <item x="4"/>
        <item t="default"/>
      </items>
    </pivotField>
    <pivotField dataField="1" showAll="0"/>
    <pivotField dataField="1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2">
    <field x="-2"/>
    <field x="1"/>
  </colFields>
  <colItems count="2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</colItems>
  <dataFields count="2">
    <dataField name="Součet z PP" fld="3" baseField="0" baseItem="0"/>
    <dataField name="Součet z CM" fld="4" baseField="0" baseItem="0"/>
  </dataFields>
  <formats count="8">
    <format dxfId="7">
      <pivotArea outline="0" collapsedLevelsAreSubtotals="1" fieldPosition="0"/>
    </format>
    <format dxfId="6">
      <pivotArea field="-2" type="button" dataOnly="0" labelOnly="1" outline="0" axis="axisCol" fieldPosition="0"/>
    </format>
    <format dxfId="5">
      <pivotArea field="1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0">
      <pivotArea outline="0" collapsedLevelsAreSubtotals="1" fieldPosition="0">
        <references count="2">
          <reference field="4294967294" count="1" selected="0">
            <x v="1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A7D0-7EFE-4E1E-B3CE-F0CA33C21CFC}">
  <dimension ref="A3:AB40"/>
  <sheetViews>
    <sheetView tabSelected="1" workbookViewId="0">
      <selection activeCell="AD16" sqref="AD16"/>
    </sheetView>
  </sheetViews>
  <sheetFormatPr defaultRowHeight="12.75" x14ac:dyDescent="0.2"/>
  <cols>
    <col min="1" max="1" width="16.140625" bestFit="1" customWidth="1"/>
    <col min="2" max="2" width="18" style="4" bestFit="1" customWidth="1"/>
    <col min="3" max="5" width="4" style="4" bestFit="1" customWidth="1"/>
    <col min="6" max="6" width="3" style="4" bestFit="1" customWidth="1"/>
    <col min="7" max="7" width="2" style="4" bestFit="1" customWidth="1"/>
    <col min="8" max="13" width="3" style="4" bestFit="1" customWidth="1"/>
    <col min="14" max="14" width="12.28515625" style="5" bestFit="1" customWidth="1"/>
    <col min="15" max="17" width="9" style="5" bestFit="1" customWidth="1"/>
    <col min="18" max="20" width="8" style="5" bestFit="1" customWidth="1"/>
    <col min="21" max="21" width="9" style="5" bestFit="1" customWidth="1"/>
    <col min="22" max="22" width="8" style="5" bestFit="1" customWidth="1"/>
    <col min="23" max="23" width="9" style="5" bestFit="1" customWidth="1"/>
    <col min="24" max="25" width="8" style="5" bestFit="1" customWidth="1"/>
    <col min="26" max="26" width="9.140625" style="5"/>
    <col min="27" max="27" width="9.140625" style="4"/>
  </cols>
  <sheetData>
    <row r="3" spans="1:25" x14ac:dyDescent="0.2">
      <c r="B3" s="3" t="s">
        <v>12</v>
      </c>
    </row>
    <row r="4" spans="1:25" x14ac:dyDescent="0.2">
      <c r="B4" s="4" t="s">
        <v>15</v>
      </c>
      <c r="N4" s="5" t="s">
        <v>16</v>
      </c>
    </row>
    <row r="5" spans="1:25" x14ac:dyDescent="0.2">
      <c r="A5" s="1" t="s">
        <v>13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5">
        <v>1</v>
      </c>
      <c r="O5" s="5">
        <v>2</v>
      </c>
      <c r="P5" s="5">
        <v>3</v>
      </c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  <c r="X5" s="5">
        <v>11</v>
      </c>
      <c r="Y5" s="5">
        <v>12</v>
      </c>
    </row>
    <row r="6" spans="1:25" x14ac:dyDescent="0.2">
      <c r="A6" s="2" t="s">
        <v>5</v>
      </c>
      <c r="B6" s="4">
        <v>154</v>
      </c>
      <c r="C6" s="4">
        <v>197</v>
      </c>
      <c r="D6" s="4">
        <v>166</v>
      </c>
      <c r="E6" s="4">
        <v>90</v>
      </c>
      <c r="F6" s="4">
        <v>25</v>
      </c>
      <c r="G6" s="4">
        <v>6</v>
      </c>
      <c r="H6" s="4">
        <v>19</v>
      </c>
      <c r="I6" s="4">
        <v>47</v>
      </c>
      <c r="J6" s="4">
        <v>47</v>
      </c>
      <c r="K6" s="4">
        <v>57</v>
      </c>
      <c r="L6" s="4">
        <v>33</v>
      </c>
      <c r="M6" s="4">
        <v>36</v>
      </c>
      <c r="N6" s="5">
        <v>415.74680000000001</v>
      </c>
      <c r="O6" s="5">
        <v>355.43819999999999</v>
      </c>
      <c r="P6" s="5">
        <v>258.13729999999998</v>
      </c>
      <c r="Q6" s="5">
        <v>175.39750000000001</v>
      </c>
      <c r="R6" s="5">
        <v>89.440799999999996</v>
      </c>
      <c r="S6" s="5">
        <v>32.904600000000002</v>
      </c>
      <c r="T6" s="5">
        <v>28.435099999999998</v>
      </c>
      <c r="U6" s="5">
        <v>88.276399999999995</v>
      </c>
      <c r="V6" s="5">
        <v>50.2438</v>
      </c>
      <c r="W6" s="5">
        <v>98.393000000000001</v>
      </c>
      <c r="X6" s="5">
        <v>68.548000000000002</v>
      </c>
      <c r="Y6" s="5">
        <v>62.083100000000002</v>
      </c>
    </row>
    <row r="7" spans="1:25" x14ac:dyDescent="0.2">
      <c r="A7" s="2" t="s">
        <v>10</v>
      </c>
      <c r="C7" s="4">
        <v>3</v>
      </c>
      <c r="I7" s="4">
        <v>2</v>
      </c>
      <c r="O7" s="5">
        <v>9.2774000000000001</v>
      </c>
      <c r="U7" s="5">
        <v>12.322900000000001</v>
      </c>
    </row>
    <row r="8" spans="1:25" x14ac:dyDescent="0.2">
      <c r="A8" s="2" t="s">
        <v>6</v>
      </c>
      <c r="B8" s="4">
        <v>2</v>
      </c>
      <c r="C8" s="4">
        <v>3</v>
      </c>
      <c r="D8" s="4">
        <v>2</v>
      </c>
      <c r="E8" s="4">
        <v>2</v>
      </c>
      <c r="L8" s="4">
        <v>1</v>
      </c>
      <c r="N8" s="5">
        <v>2.6025</v>
      </c>
      <c r="O8" s="5">
        <v>3.2481</v>
      </c>
      <c r="P8" s="5">
        <v>4.0084</v>
      </c>
      <c r="Q8" s="5">
        <v>6.0316999999999998</v>
      </c>
      <c r="X8" s="5">
        <v>1.7968999999999999</v>
      </c>
    </row>
    <row r="9" spans="1:25" x14ac:dyDescent="0.2">
      <c r="A9" s="2" t="s">
        <v>7</v>
      </c>
      <c r="B9" s="4">
        <v>8</v>
      </c>
      <c r="C9" s="4">
        <v>12</v>
      </c>
      <c r="D9" s="4">
        <v>9</v>
      </c>
      <c r="E9" s="4">
        <v>12</v>
      </c>
      <c r="F9" s="4">
        <v>1</v>
      </c>
      <c r="G9" s="4">
        <v>1</v>
      </c>
      <c r="I9" s="4">
        <v>1</v>
      </c>
      <c r="J9" s="4">
        <v>4</v>
      </c>
      <c r="K9" s="4">
        <v>2</v>
      </c>
      <c r="L9" s="4">
        <v>3</v>
      </c>
      <c r="N9" s="5">
        <v>21.0275</v>
      </c>
      <c r="O9" s="5">
        <v>65.837699999999998</v>
      </c>
      <c r="P9" s="5">
        <v>23.7575</v>
      </c>
      <c r="Q9" s="5">
        <v>40.418300000000002</v>
      </c>
      <c r="R9" s="5">
        <v>1.2796000000000001</v>
      </c>
      <c r="S9" s="5">
        <v>4.5035999999999996</v>
      </c>
      <c r="U9" s="5">
        <v>2.7934000000000001</v>
      </c>
      <c r="V9" s="5">
        <v>17.8353</v>
      </c>
      <c r="W9" s="5">
        <v>6.6089000000000002</v>
      </c>
      <c r="X9" s="5">
        <v>15.577400000000001</v>
      </c>
    </row>
    <row r="10" spans="1:25" x14ac:dyDescent="0.2">
      <c r="A10" s="2" t="s">
        <v>8</v>
      </c>
      <c r="B10" s="4">
        <v>6</v>
      </c>
      <c r="C10" s="4">
        <v>8</v>
      </c>
      <c r="D10" s="4">
        <v>2</v>
      </c>
      <c r="E10" s="4">
        <v>2</v>
      </c>
      <c r="H10" s="4">
        <v>1</v>
      </c>
      <c r="I10" s="4">
        <v>1</v>
      </c>
      <c r="J10" s="4">
        <v>1</v>
      </c>
      <c r="K10" s="4">
        <v>1</v>
      </c>
      <c r="N10" s="5">
        <v>4.6314000000000002</v>
      </c>
      <c r="O10" s="5">
        <v>6.2553999999999998</v>
      </c>
      <c r="P10" s="5">
        <v>1.8965000000000001</v>
      </c>
      <c r="Q10" s="5">
        <v>1.1482000000000001</v>
      </c>
      <c r="T10" s="5">
        <v>0.57410000000000005</v>
      </c>
      <c r="U10" s="5">
        <v>1.6262000000000001</v>
      </c>
      <c r="V10" s="5">
        <v>0.57299999999999995</v>
      </c>
      <c r="W10" s="5">
        <v>0.57299999999999995</v>
      </c>
    </row>
    <row r="11" spans="1:25" x14ac:dyDescent="0.2">
      <c r="A11" s="2" t="s">
        <v>11</v>
      </c>
      <c r="K11" s="4">
        <v>1</v>
      </c>
      <c r="W11" s="5">
        <v>4.4382999999999999</v>
      </c>
    </row>
    <row r="12" spans="1:25" x14ac:dyDescent="0.2">
      <c r="A12" s="2" t="s">
        <v>9</v>
      </c>
      <c r="B12" s="4">
        <v>8</v>
      </c>
      <c r="C12" s="4">
        <v>17</v>
      </c>
      <c r="D12" s="4">
        <v>1</v>
      </c>
      <c r="J12" s="4">
        <v>1</v>
      </c>
      <c r="K12" s="4">
        <v>1</v>
      </c>
      <c r="N12" s="5">
        <v>12.5547</v>
      </c>
      <c r="O12" s="5">
        <v>45.766599999999997</v>
      </c>
      <c r="P12" s="5">
        <v>1.8166</v>
      </c>
      <c r="V12" s="5">
        <v>0.59240000000000004</v>
      </c>
      <c r="W12" s="5">
        <v>0.59240000000000004</v>
      </c>
    </row>
    <row r="13" spans="1:25" x14ac:dyDescent="0.2">
      <c r="A13" s="2" t="s">
        <v>14</v>
      </c>
      <c r="B13" s="4">
        <v>178</v>
      </c>
      <c r="C13" s="4">
        <v>240</v>
      </c>
      <c r="D13" s="4">
        <v>180</v>
      </c>
      <c r="E13" s="4">
        <v>106</v>
      </c>
      <c r="F13" s="4">
        <v>26</v>
      </c>
      <c r="G13" s="4">
        <v>7</v>
      </c>
      <c r="H13" s="4">
        <v>20</v>
      </c>
      <c r="I13" s="4">
        <v>51</v>
      </c>
      <c r="J13" s="4">
        <v>53</v>
      </c>
      <c r="K13" s="4">
        <v>62</v>
      </c>
      <c r="L13" s="4">
        <v>37</v>
      </c>
      <c r="M13" s="4">
        <v>36</v>
      </c>
      <c r="N13" s="5">
        <v>456.56290000000001</v>
      </c>
      <c r="O13" s="5">
        <v>485.82339999999999</v>
      </c>
      <c r="P13" s="5">
        <v>289.61629999999997</v>
      </c>
      <c r="Q13" s="5">
        <v>222.99570000000003</v>
      </c>
      <c r="R13" s="5">
        <v>90.720399999999998</v>
      </c>
      <c r="S13" s="5">
        <v>37.408200000000001</v>
      </c>
      <c r="T13" s="5">
        <v>29.0092</v>
      </c>
      <c r="U13" s="5">
        <v>105.0189</v>
      </c>
      <c r="V13" s="5">
        <v>69.244499999999988</v>
      </c>
      <c r="W13" s="5">
        <v>110.6056</v>
      </c>
      <c r="X13" s="5">
        <v>85.922299999999993</v>
      </c>
      <c r="Y13" s="5">
        <v>62.083100000000002</v>
      </c>
    </row>
    <row r="15" spans="1:25" x14ac:dyDescent="0.2">
      <c r="A15" s="2" t="s">
        <v>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x14ac:dyDescent="0.2">
      <c r="A16" s="2" t="s">
        <v>17</v>
      </c>
      <c r="B16" s="4">
        <f>GETPIVOTDATA("Součet z PP",$A$3,"MesV",1,"alfa","C")+GETPIVOTDATA("Součet z PP",$A$3,"MesV",1,"alfa","D")+GETPIVOTDATA("Součet z PP",$A$3,"MesV",1,"alfa","E")+GETPIVOTDATA("Součet z PP",$A$3,"MesV",1,"alfa","F")</f>
        <v>16</v>
      </c>
      <c r="C16" s="4">
        <f>GETPIVOTDATA("Součet z PP",$A$3,"MesV",2,"alfa","C")+GETPIVOTDATA("Součet z PP",$A$3,"MesV",2,"alfa","D")+GETPIVOTDATA("Součet z PP",$A$3,"MesV",2,"alfa","E")+GETPIVOTDATA("Součet z PP",$A$3,"MesV",2,"alfa","F")</f>
        <v>23</v>
      </c>
      <c r="D16" s="4">
        <f>GETPIVOTDATA("Součet z PP",$A$3,"MesV",3,"alfa","C")+GETPIVOTDATA("Součet z PP",$A$3,"MesV",3,"alfa","D")+GETPIVOTDATA("Součet z PP",$A$3,"MesV",3,"alfa","E")+GETPIVOTDATA("Součet z PP",$A$3,"MesV",3,"alfa","F")</f>
        <v>13</v>
      </c>
      <c r="E16" s="4">
        <f>GETPIVOTDATA("Součet z PP",$A$3,"MesV",4,"alfa","C")+GETPIVOTDATA("Součet z PP",$A$3,"MesV",4,"alfa","D")+GETPIVOTDATA("Součet z PP",$A$3,"MesV",4,"alfa","E")+GETPIVOTDATA("Součet z PP",$A$3,"MesV",4,"alfa","F")</f>
        <v>16</v>
      </c>
      <c r="F16" s="4">
        <f>GETPIVOTDATA("Součet z PP",$A$3,"MesV",5,"alfa","C")+GETPIVOTDATA("Součet z PP",$A$3,"MesV",5,"alfa","D")+GETPIVOTDATA("Součet z PP",$A$3,"MesV",5,"alfa","E")+GETPIVOTDATA("Součet z PP",$A$3,"MesV",5,"alfa","F")</f>
        <v>1</v>
      </c>
      <c r="G16" s="4">
        <f>GETPIVOTDATA("Součet z PP",$A$3,"MesV",6,"alfa","C")+GETPIVOTDATA("Součet z PP",$A$3,"MesV",6,"alfa","D")+GETPIVOTDATA("Součet z PP",$A$3,"MesV",6,"alfa","E")+GETPIVOTDATA("Součet z PP",$A$3,"MesV",6,"alfa","F")</f>
        <v>1</v>
      </c>
      <c r="H16" s="4">
        <f>GETPIVOTDATA("Součet z PP",$A$3,"MesV",7,"alfa","C")+GETPIVOTDATA("Součet z PP",$A$3,"MesV",7,"alfa","D")+GETPIVOTDATA("Součet z PP",$A$3,"MesV",7,"alfa","E")+GETPIVOTDATA("Součet z PP",$A$3,"MesV",7,"alfa","F")</f>
        <v>1</v>
      </c>
      <c r="I16" s="4">
        <f>GETPIVOTDATA("Součet z PP",$A$3,"MesV",8,"alfa","C")+GETPIVOTDATA("Součet z PP",$A$3,"MesV",8,"alfa","D")+GETPIVOTDATA("Součet z PP",$A$3,"MesV",8,"alfa","E")+GETPIVOTDATA("Součet z PP",$A$3,"MesV",8,"alfa","F")</f>
        <v>2</v>
      </c>
      <c r="J16" s="4">
        <f>GETPIVOTDATA("Součet z PP",$A$3,"MesV",9,"alfa","C")+GETPIVOTDATA("Součet z PP",$A$3,"MesV",9,"alfa","D")+GETPIVOTDATA("Součet z PP",$A$3,"MesV",9,"alfa","E")+GETPIVOTDATA("Součet z PP",$A$3,"MesV",9,"alfa","F")</f>
        <v>5</v>
      </c>
      <c r="K16" s="4">
        <f>GETPIVOTDATA("Součet z PP",$A$3,"MesV",10,"alfa","C")+GETPIVOTDATA("Součet z PP",$A$3,"MesV",10,"alfa","D")+GETPIVOTDATA("Součet z PP",$A$3,"MesV",10,"alfa","E")+GETPIVOTDATA("Součet z PP",$A$3,"MesV",10,"alfa","F")</f>
        <v>4</v>
      </c>
      <c r="L16" s="4">
        <f>GETPIVOTDATA("Součet z PP",$A$3,"MesV",11,"alfa","C")+GETPIVOTDATA("Součet z PP",$A$3,"MesV",11,"alfa","D")+GETPIVOTDATA("Součet z PP",$A$3,"MesV",11,"alfa","E")+GETPIVOTDATA("Součet z PP",$A$3,"MesV",11,"alfa","F")</f>
        <v>4</v>
      </c>
      <c r="M16" s="4">
        <f>GETPIVOTDATA("Součet z PP",$A$3,"MesV",12,"alfa","C")+GETPIVOTDATA("Součet z PP",$A$3,"MesV",12,"alfa","D")+GETPIVOTDATA("Součet z PP",$A$3,"MesV",12,"alfa","E")+GETPIVOTDATA("Součet z PP",$A$3,"MesV",12,"alfa","F")</f>
        <v>0</v>
      </c>
      <c r="N16" s="5">
        <f>GETPIVOTDATA("Součet z CM",$A$3,"MesV",1,"alfa","C")+GETPIVOTDATA("Součet z CM",$A$3,"MesV",1,"alfa","D")+GETPIVOTDATA("Součet z CM",$A$3,"MesV",1,"alfa","E")+GETPIVOTDATA("Součet z CM",$A$3,"MesV",1,"alfa","F")</f>
        <v>28.261399999999998</v>
      </c>
      <c r="O16" s="5">
        <f>GETPIVOTDATA("Součet z CM",$A$3,"MesV",2,"alfa","C")+GETPIVOTDATA("Součet z CM",$A$3,"MesV",2,"alfa","D")+GETPIVOTDATA("Součet z CM",$A$3,"MesV",2,"alfa","E")+GETPIVOTDATA("Součet z CM",$A$3,"MesV",2,"alfa","F")</f>
        <v>75.341199999999986</v>
      </c>
      <c r="P16" s="5">
        <f>GETPIVOTDATA("Součet z CM",$A$3,"MesV",3,"alfa","C")+GETPIVOTDATA("Součet z CM",$A$3,"MesV",3,"alfa","D")+GETPIVOTDATA("Součet z CM",$A$3,"MesV",3,"alfa","E")+GETPIVOTDATA("Součet z CM",$A$3,"MesV",3,"alfa","F")</f>
        <v>29.662400000000002</v>
      </c>
      <c r="Q16" s="5">
        <f>GETPIVOTDATA("Součet z CM",$A$3,"MesV",4,"alfa","C")+GETPIVOTDATA("Součet z CM",$A$3,"MesV",4,"alfa","D")+GETPIVOTDATA("Součet z CM",$A$3,"MesV",4,"alfa","E")+GETPIVOTDATA("Součet z CM",$A$3,"MesV",4,"alfa","F")</f>
        <v>47.598200000000006</v>
      </c>
      <c r="R16" s="5">
        <f>GETPIVOTDATA("Součet z CM",$A$3,"MesV",5,"alfa","C")+GETPIVOTDATA("Součet z CM",$A$3,"MesV",5,"alfa","D")+GETPIVOTDATA("Součet z CM",$A$3,"MesV",5,"alfa","E")+GETPIVOTDATA("Součet z CM",$A$3,"MesV",5,"alfa","F")</f>
        <v>1.2796000000000001</v>
      </c>
      <c r="S16" s="5">
        <f>GETPIVOTDATA("Součet z CM",$A$3,"MesV",6,"alfa","C")+GETPIVOTDATA("Součet z CM",$A$3,"MesV",6,"alfa","D")+GETPIVOTDATA("Součet z CM",$A$3,"MesV",6,"alfa","E")+GETPIVOTDATA("Součet z CM",$A$3,"MesV",6,"alfa","F")</f>
        <v>4.5035999999999996</v>
      </c>
      <c r="T16" s="5">
        <f>GETPIVOTDATA("Součet z CM",$A$3,"MesV",7,"alfa","C")+GETPIVOTDATA("Součet z CM",$A$3,"MesV",7,"alfa","D")+GETPIVOTDATA("Součet z CM",$A$3,"MesV",7,"alfa","E")+GETPIVOTDATA("Součet z CM",$A$3,"MesV",7,"alfa","F")</f>
        <v>0.57410000000000005</v>
      </c>
      <c r="U16" s="5">
        <f>GETPIVOTDATA("Součet z CM",$A$3,"MesV",8,"alfa","C")+GETPIVOTDATA("Součet z CM",$A$3,"MesV",8,"alfa","D")+GETPIVOTDATA("Součet z CM",$A$3,"MesV",8,"alfa","E")+GETPIVOTDATA("Součet z CM",$A$3,"MesV",8,"alfa","F")</f>
        <v>4.4196</v>
      </c>
      <c r="V16" s="5">
        <f>GETPIVOTDATA("Součet z CM",$A$3,"MesV",9,"alfa","C")+GETPIVOTDATA("Součet z CM",$A$3,"MesV",9,"alfa","D")+GETPIVOTDATA("Součet z CM",$A$3,"MesV",9,"alfa","E")+GETPIVOTDATA("Součet z CM",$A$3,"MesV",9,"alfa","F")</f>
        <v>18.408300000000001</v>
      </c>
      <c r="W16" s="5">
        <f>GETPIVOTDATA("Součet z CM",$A$3,"MesV",10,"alfa","C")+GETPIVOTDATA("Součet z CM",$A$3,"MesV",10,"alfa","D")+GETPIVOTDATA("Součet z CM",$A$3,"MesV",10,"alfa","E")+GETPIVOTDATA("Součet z CM",$A$3,"MesV",10,"alfa","F")</f>
        <v>11.620200000000001</v>
      </c>
      <c r="X16" s="5">
        <f>GETPIVOTDATA("Součet z CM",$A$3,"MesV",11,"alfa","C")+GETPIVOTDATA("Součet z CM",$A$3,"MesV",11,"alfa","D")+GETPIVOTDATA("Součet z CM",$A$3,"MesV",11,"alfa","E")+GETPIVOTDATA("Součet z CM",$A$3,"MesV",11,"alfa","F")</f>
        <v>17.374300000000002</v>
      </c>
      <c r="Y16" s="5">
        <f>GETPIVOTDATA("Součet z CM",$A$3,"MesV",12,"alfa","C")+GETPIVOTDATA("Součet z CM",$A$3,"MesV",12,"alfa","D")+GETPIVOTDATA("Součet z CM",$A$3,"MesV",12,"alfa","E")+GETPIVOTDATA("Součet z CM",$A$3,"MesV",12,"alfa","F")</f>
        <v>0</v>
      </c>
    </row>
    <row r="17" spans="1:28" x14ac:dyDescent="0.2">
      <c r="A17" s="2" t="s">
        <v>18</v>
      </c>
      <c r="B17" s="4">
        <f>GETPIVOTDATA("Součet z PP",$A$3,"MesV",1,"alfa","B")+GETPIVOTDATA("Součet z PP",$A$3,"MesV",1,"alfa","H")</f>
        <v>8</v>
      </c>
      <c r="C17" s="4">
        <f>GETPIVOTDATA("Součet z PP",$A$3,"MesV",2,"alfa","B")+GETPIVOTDATA("Součet z PP",$A$3,"MesV",2,"alfa","H")</f>
        <v>20</v>
      </c>
      <c r="D17" s="4">
        <f>GETPIVOTDATA("Součet z PP",$A$3,"MesV",3,"alfa","B")+GETPIVOTDATA("Součet z PP",$A$3,"MesV",3,"alfa","H")</f>
        <v>1</v>
      </c>
      <c r="E17" s="4">
        <f>GETPIVOTDATA("Součet z PP",$A$3,"MesV",4,"alfa","B")+GETPIVOTDATA("Součet z PP",$A$3,"MesV",4,"alfa","H")</f>
        <v>0</v>
      </c>
      <c r="F17" s="4">
        <f>GETPIVOTDATA("Součet z PP",$A$3,"MesV",5,"alfa","B")+GETPIVOTDATA("Součet z PP",$A$3,"MesV",5,"alfa","H")</f>
        <v>0</v>
      </c>
      <c r="G17" s="4">
        <f>GETPIVOTDATA("Součet z PP",$A$3,"MesV",6,"alfa","B")+GETPIVOTDATA("Součet z PP",$A$3,"MesV",6,"alfa","H")</f>
        <v>0</v>
      </c>
      <c r="H17" s="4">
        <f>GETPIVOTDATA("Součet z PP",$A$3,"MesV",7,"alfa","B")+GETPIVOTDATA("Součet z PP",$A$3,"MesV",7,"alfa","H")</f>
        <v>0</v>
      </c>
      <c r="I17" s="4">
        <f>GETPIVOTDATA("Součet z PP",$A$3,"MesV",8,"alfa","B")+GETPIVOTDATA("Součet z PP",$A$3,"MesV",8,"alfa","H")</f>
        <v>2</v>
      </c>
      <c r="J17" s="4">
        <f>GETPIVOTDATA("Součet z PP",$A$3,"MesV",9,"alfa","B")+GETPIVOTDATA("Součet z PP",$A$3,"MesV",9,"alfa","H")</f>
        <v>1</v>
      </c>
      <c r="K17" s="4">
        <f>GETPIVOTDATA("Součet z PP",$A$3,"MesV",10,"alfa","B")+GETPIVOTDATA("Součet z PP",$A$3,"MesV",10,"alfa","H")</f>
        <v>1</v>
      </c>
      <c r="L17" s="4">
        <f>GETPIVOTDATA("Součet z PP",$A$3,"MesV",11,"alfa","B")+GETPIVOTDATA("Součet z PP",$A$3,"MesV",11,"alfa","H")</f>
        <v>0</v>
      </c>
      <c r="M17" s="4">
        <f>GETPIVOTDATA("Součet z PP",$A$3,"MesV",12,"alfa","B")+GETPIVOTDATA("Součet z PP",$A$3,"MesV",12,"alfa","H")</f>
        <v>0</v>
      </c>
      <c r="N17" s="5">
        <f>GETPIVOTDATA("Součet z CM",$A$3,"MesV",1,"alfa","B")+GETPIVOTDATA("Součet z CM",$A$3,"MesV",1,"alfa","H")</f>
        <v>12.5547</v>
      </c>
      <c r="O17" s="5">
        <f>GETPIVOTDATA("Součet z CM",$A$3,"MesV",2,"alfa","B")+GETPIVOTDATA("Součet z CM",$A$3,"MesV",2,"alfa","H")</f>
        <v>55.043999999999997</v>
      </c>
      <c r="P17" s="5">
        <f>GETPIVOTDATA("Součet z CM",$A$3,"MesV",3,"alfa","B")+GETPIVOTDATA("Součet z CM",$A$3,"MesV",3,"alfa","H")</f>
        <v>1.8166</v>
      </c>
      <c r="Q17" s="5">
        <f>GETPIVOTDATA("Součet z CM",$A$3,"MesV",4,"alfa","B")+GETPIVOTDATA("Součet z CM",$A$3,"MesV",4,"alfa","H")</f>
        <v>0</v>
      </c>
      <c r="R17" s="5">
        <f>GETPIVOTDATA("Součet z CM",$A$3,"MesV",5,"alfa","B")+GETPIVOTDATA("Součet z CM",$A$3,"MesV",5,"alfa","H")</f>
        <v>0</v>
      </c>
      <c r="S17" s="5">
        <f>GETPIVOTDATA("Součet z CM",$A$3,"MesV",6,"alfa","B")+GETPIVOTDATA("Součet z CM",$A$3,"MesV",6,"alfa","H")</f>
        <v>0</v>
      </c>
      <c r="T17" s="5">
        <f>GETPIVOTDATA("Součet z CM",$A$3,"MesV",7,"alfa","B")+GETPIVOTDATA("Součet z CM",$A$3,"MesV",7,"alfa","H")</f>
        <v>0</v>
      </c>
      <c r="U17" s="5">
        <f>GETPIVOTDATA("Součet z CM",$A$3,"MesV",8,"alfa","B")+GETPIVOTDATA("Součet z CM",$A$3,"MesV",8,"alfa","H")</f>
        <v>12.322900000000001</v>
      </c>
      <c r="V17" s="5">
        <f>GETPIVOTDATA("Součet z CM",$A$3,"MesV",9,"alfa","B")+GETPIVOTDATA("Součet z CM",$A$3,"MesV",9,"alfa","H")</f>
        <v>0.59240000000000004</v>
      </c>
      <c r="W17" s="5">
        <f>GETPIVOTDATA("Součet z CM",$A$3,"MesV",10,"alfa","B")+GETPIVOTDATA("Součet z CM",$A$3,"MesV",10,"alfa","H")</f>
        <v>0.59240000000000004</v>
      </c>
      <c r="X17" s="5">
        <f>GETPIVOTDATA("Součet z CM",$A$3,"MesV",11,"alfa","B")+GETPIVOTDATA("Součet z CM",$A$3,"MesV",11,"alfa","H")</f>
        <v>0</v>
      </c>
      <c r="Y17" s="5">
        <f>GETPIVOTDATA("Součet z CM",$A$3,"MesV",12,"alfa","B")+GETPIVOTDATA("Součet z CM",$A$3,"MesV",12,"alfa","H")</f>
        <v>0</v>
      </c>
    </row>
    <row r="19" spans="1:28" x14ac:dyDescent="0.2">
      <c r="A19" t="s">
        <v>19</v>
      </c>
      <c r="B19" s="4">
        <f>GETPIVOTDATA("Součet z PP",$A$3,"MesV",1,"alfa","E")+GETPIVOTDATA("Součet z PP",$A$3,"MesV",1,"alfa","F")</f>
        <v>6</v>
      </c>
      <c r="C19" s="4">
        <f>GETPIVOTDATA("Součet z PP",$A$3,"MesV",2,"alfa","E")+GETPIVOTDATA("Součet z PP",$A$3,"MesV",2,"alfa","F")</f>
        <v>8</v>
      </c>
      <c r="D19" s="4">
        <f>GETPIVOTDATA("Součet z PP",$A$3,"MesV",3,"alfa","E")+GETPIVOTDATA("Součet z PP",$A$3,"MesV",3,"alfa","F")</f>
        <v>2</v>
      </c>
      <c r="E19" s="4">
        <f>GETPIVOTDATA("Součet z PP",$A$3,"MesV",4,"alfa","E")+GETPIVOTDATA("Součet z PP",$A$3,"MesV",4,"alfa","F")</f>
        <v>2</v>
      </c>
      <c r="F19" s="4">
        <f>GETPIVOTDATA("Součet z PP",$A$3,"MesV",5,"alfa","E")+GETPIVOTDATA("Součet z PP",$A$3,"MesV",5,"alfa","F")</f>
        <v>0</v>
      </c>
      <c r="G19" s="4">
        <f>GETPIVOTDATA("Součet z PP",$A$3,"MesV",6,"alfa","E")+GETPIVOTDATA("Součet z PP",$A$3,"MesV",6,"alfa","F")</f>
        <v>0</v>
      </c>
      <c r="H19" s="4">
        <f>GETPIVOTDATA("Součet z PP",$A$3,"MesV",7,"alfa","E")+GETPIVOTDATA("Součet z PP",$A$3,"MesV",7,"alfa","F")</f>
        <v>1</v>
      </c>
      <c r="I19" s="4">
        <f>GETPIVOTDATA("Součet z PP",$A$3,"MesV",8,"alfa","E")+GETPIVOTDATA("Součet z PP",$A$3,"MesV",8,"alfa","F")</f>
        <v>1</v>
      </c>
      <c r="J19" s="4">
        <f>GETPIVOTDATA("Součet z PP",$A$3,"MesV",9,"alfa","E")+GETPIVOTDATA("Součet z PP",$A$3,"MesV",9,"alfa","F")</f>
        <v>1</v>
      </c>
      <c r="K19" s="4">
        <f>GETPIVOTDATA("Součet z PP",$A$3,"MesV",10,"alfa","E")+GETPIVOTDATA("Součet z PP",$A$3,"MesV",10,"alfa","F")</f>
        <v>2</v>
      </c>
      <c r="L19" s="4">
        <f>GETPIVOTDATA("Součet z PP",$A$3,"MesV",11,"alfa","E")+GETPIVOTDATA("Součet z PP",$A$3,"MesV",11,"alfa","F")</f>
        <v>0</v>
      </c>
      <c r="M19" s="4">
        <f>GETPIVOTDATA("Součet z PP",$A$3,"MesV",12,"alfa","E")+GETPIVOTDATA("Součet z PP",$A$3,"MesV",12,"alfa","F")</f>
        <v>0</v>
      </c>
      <c r="N19" s="5">
        <f>GETPIVOTDATA("Součet z CM",$A$3,"MesV",1,"alfa","E")+GETPIVOTDATA("Součet z CM",$A$3,"MesV",1,"alfa","F")</f>
        <v>4.6314000000000002</v>
      </c>
      <c r="O19" s="5">
        <f>GETPIVOTDATA("Součet z CM",$A$3,"MesV",2,"alfa","E")+GETPIVOTDATA("Součet z CM",$A$3,"MesV",2,"alfa","F")</f>
        <v>6.2553999999999998</v>
      </c>
      <c r="P19" s="5">
        <f>GETPIVOTDATA("Součet z CM",$A$3,"MesV",3,"alfa","E")+GETPIVOTDATA("Součet z CM",$A$3,"MesV",3,"alfa","F")</f>
        <v>1.8965000000000001</v>
      </c>
      <c r="Q19" s="5">
        <f>GETPIVOTDATA("Součet z CM",$A$3,"MesV",4,"alfa","E")+GETPIVOTDATA("Součet z CM",$A$3,"MesV",4,"alfa","F")</f>
        <v>1.1482000000000001</v>
      </c>
      <c r="R19" s="5">
        <f>GETPIVOTDATA("Součet z CM",$A$3,"MesV",5,"alfa","E")+GETPIVOTDATA("Součet z CM",$A$3,"MesV",5,"alfa","F")</f>
        <v>0</v>
      </c>
      <c r="S19" s="5">
        <f>GETPIVOTDATA("Součet z CM",$A$3,"MesV",6,"alfa","E")+GETPIVOTDATA("Součet z CM",$A$3,"MesV",6,"alfa","F")</f>
        <v>0</v>
      </c>
      <c r="T19" s="5">
        <f>GETPIVOTDATA("Součet z CM",$A$3,"MesV",7,"alfa","E")+GETPIVOTDATA("Součet z CM",$A$3,"MesV",7,"alfa","F")</f>
        <v>0.57410000000000005</v>
      </c>
      <c r="U19" s="5">
        <f>GETPIVOTDATA("Součet z CM",$A$3,"MesV",8,"alfa","E")+GETPIVOTDATA("Součet z CM",$A$3,"MesV",8,"alfa","F")</f>
        <v>1.6262000000000001</v>
      </c>
      <c r="V19" s="5">
        <f>GETPIVOTDATA("Součet z CM",$A$3,"MesV",9,"alfa","E")+GETPIVOTDATA("Součet z CM",$A$3,"MesV",9,"alfa","F")</f>
        <v>0.57299999999999995</v>
      </c>
      <c r="W19" s="5">
        <f>GETPIVOTDATA("Součet z CM",$A$3,"MesV",10,"alfa","E")+GETPIVOTDATA("Součet z CM",$A$3,"MesV",10,"alfa","F")</f>
        <v>5.0113000000000003</v>
      </c>
      <c r="X19" s="5">
        <f>GETPIVOTDATA("Součet z CM",$A$3,"MesV",11,"alfa","E")+GETPIVOTDATA("Součet z CM",$A$3,"MesV",11,"alfa","F")</f>
        <v>0</v>
      </c>
      <c r="Y19" s="5">
        <f>GETPIVOTDATA("Součet z CM",$A$3,"MesV",12,"alfa","E")+GETPIVOTDATA("Součet z CM",$A$3,"MesV",12,"alfa","F")</f>
        <v>0</v>
      </c>
    </row>
    <row r="23" spans="1:28" x14ac:dyDescent="0.2">
      <c r="C23" s="7" t="s">
        <v>20</v>
      </c>
      <c r="D23" s="7"/>
      <c r="E23" s="7"/>
      <c r="F23" s="7"/>
      <c r="G23" s="7"/>
      <c r="H23" s="7"/>
      <c r="I23" s="7"/>
      <c r="J23" s="8"/>
      <c r="K23" s="8"/>
      <c r="L23" s="8"/>
      <c r="M23" s="8"/>
      <c r="N23" s="9"/>
    </row>
    <row r="24" spans="1:28" x14ac:dyDescent="0.2">
      <c r="B24" s="4" t="s">
        <v>12</v>
      </c>
    </row>
    <row r="25" spans="1:28" x14ac:dyDescent="0.2">
      <c r="B25" s="4" t="s">
        <v>15</v>
      </c>
      <c r="N25" s="5" t="s">
        <v>16</v>
      </c>
    </row>
    <row r="26" spans="1:28" x14ac:dyDescent="0.2">
      <c r="A26" t="s">
        <v>13</v>
      </c>
      <c r="B26" s="4">
        <v>1</v>
      </c>
      <c r="C26" s="4">
        <v>2</v>
      </c>
      <c r="D26" s="4">
        <v>3</v>
      </c>
      <c r="E26" s="4">
        <v>4</v>
      </c>
      <c r="F26" s="4">
        <v>5</v>
      </c>
      <c r="G26" s="4">
        <v>6</v>
      </c>
      <c r="H26" s="4">
        <v>7</v>
      </c>
      <c r="I26" s="4">
        <v>8</v>
      </c>
      <c r="J26" s="4">
        <v>9</v>
      </c>
      <c r="K26" s="4">
        <v>10</v>
      </c>
      <c r="L26" s="4">
        <v>11</v>
      </c>
      <c r="M26" s="4">
        <v>12</v>
      </c>
      <c r="N26" s="4">
        <v>1</v>
      </c>
      <c r="O26" s="4">
        <v>2</v>
      </c>
      <c r="P26" s="4">
        <v>3</v>
      </c>
      <c r="Q26" s="4">
        <v>4</v>
      </c>
      <c r="R26" s="4">
        <v>5</v>
      </c>
      <c r="S26" s="4">
        <v>6</v>
      </c>
      <c r="T26" s="4">
        <v>7</v>
      </c>
      <c r="U26" s="4">
        <v>8</v>
      </c>
      <c r="V26" s="4">
        <v>9</v>
      </c>
      <c r="W26" s="4">
        <v>10</v>
      </c>
      <c r="X26" s="4">
        <v>11</v>
      </c>
      <c r="Y26" s="4">
        <v>12</v>
      </c>
      <c r="AA26" s="6" t="s">
        <v>3</v>
      </c>
      <c r="AB26" s="11" t="s">
        <v>4</v>
      </c>
    </row>
    <row r="27" spans="1:28" x14ac:dyDescent="0.2">
      <c r="A27" t="s">
        <v>5</v>
      </c>
      <c r="B27" s="4">
        <v>154</v>
      </c>
      <c r="C27" s="4">
        <v>197</v>
      </c>
      <c r="D27" s="4">
        <v>166</v>
      </c>
      <c r="E27" s="4">
        <v>90</v>
      </c>
      <c r="F27" s="4">
        <v>25</v>
      </c>
      <c r="G27" s="4">
        <v>6</v>
      </c>
      <c r="H27" s="4">
        <v>19</v>
      </c>
      <c r="I27" s="4">
        <v>47</v>
      </c>
      <c r="J27" s="4">
        <v>47</v>
      </c>
      <c r="K27" s="4">
        <v>57</v>
      </c>
      <c r="L27" s="4">
        <v>33</v>
      </c>
      <c r="M27" s="4">
        <v>36</v>
      </c>
      <c r="N27" s="5">
        <v>415.74680000000001</v>
      </c>
      <c r="O27" s="5">
        <v>355.43819999999999</v>
      </c>
      <c r="P27" s="5">
        <v>258.13729999999998</v>
      </c>
      <c r="Q27" s="5">
        <v>175.39750000000001</v>
      </c>
      <c r="R27" s="5">
        <v>89.440799999999996</v>
      </c>
      <c r="S27" s="5">
        <v>32.904600000000002</v>
      </c>
      <c r="T27" s="5">
        <v>28.435099999999998</v>
      </c>
      <c r="U27" s="5">
        <v>88.276399999999995</v>
      </c>
      <c r="V27" s="5">
        <v>50.2438</v>
      </c>
      <c r="W27" s="5">
        <v>98.393000000000001</v>
      </c>
      <c r="X27" s="5">
        <v>68.548000000000002</v>
      </c>
      <c r="Y27" s="5">
        <v>62.083100000000002</v>
      </c>
      <c r="AA27" s="4">
        <f>SUM(B27:M27)</f>
        <v>877</v>
      </c>
      <c r="AB27" s="5">
        <f>SUM(N27:Y27)</f>
        <v>1723.0445999999999</v>
      </c>
    </row>
    <row r="28" spans="1:28" x14ac:dyDescent="0.2">
      <c r="A28" t="s">
        <v>10</v>
      </c>
      <c r="C28" s="4">
        <v>3</v>
      </c>
      <c r="I28" s="4">
        <v>2</v>
      </c>
      <c r="O28" s="5">
        <v>9.2774000000000001</v>
      </c>
      <c r="U28" s="5">
        <v>12.322900000000001</v>
      </c>
      <c r="AA28" s="4">
        <f>SUM(B28:M28)</f>
        <v>5</v>
      </c>
      <c r="AB28" s="5">
        <f>SUM(N28:Y28)</f>
        <v>21.600300000000001</v>
      </c>
    </row>
    <row r="29" spans="1:28" x14ac:dyDescent="0.2">
      <c r="A29" t="s">
        <v>6</v>
      </c>
      <c r="B29" s="4">
        <v>2</v>
      </c>
      <c r="C29" s="4">
        <v>3</v>
      </c>
      <c r="D29" s="4">
        <v>2</v>
      </c>
      <c r="E29" s="4">
        <v>2</v>
      </c>
      <c r="L29" s="4">
        <v>1</v>
      </c>
      <c r="N29" s="5">
        <v>2.6025</v>
      </c>
      <c r="O29" s="5">
        <v>3.2481</v>
      </c>
      <c r="P29" s="5">
        <v>4.0084</v>
      </c>
      <c r="Q29" s="5">
        <v>6.0316999999999998</v>
      </c>
      <c r="X29" s="5">
        <v>1.7968999999999999</v>
      </c>
      <c r="AA29" s="4">
        <f>SUM(B29:M29)</f>
        <v>10</v>
      </c>
      <c r="AB29" s="5">
        <f>SUM(N29:Y29)</f>
        <v>17.6876</v>
      </c>
    </row>
    <row r="30" spans="1:28" x14ac:dyDescent="0.2">
      <c r="A30" t="s">
        <v>7</v>
      </c>
      <c r="B30" s="4">
        <v>8</v>
      </c>
      <c r="C30" s="4">
        <v>12</v>
      </c>
      <c r="D30" s="4">
        <v>9</v>
      </c>
      <c r="E30" s="4">
        <v>12</v>
      </c>
      <c r="F30" s="4">
        <v>1</v>
      </c>
      <c r="G30" s="4">
        <v>1</v>
      </c>
      <c r="I30" s="4">
        <v>1</v>
      </c>
      <c r="J30" s="4">
        <v>4</v>
      </c>
      <c r="K30" s="4">
        <v>2</v>
      </c>
      <c r="L30" s="4">
        <v>3</v>
      </c>
      <c r="N30" s="5">
        <v>21.0275</v>
      </c>
      <c r="O30" s="5">
        <v>65.837699999999998</v>
      </c>
      <c r="P30" s="5">
        <v>23.7575</v>
      </c>
      <c r="Q30" s="5">
        <v>40.418300000000002</v>
      </c>
      <c r="R30" s="5">
        <v>1.2796000000000001</v>
      </c>
      <c r="S30" s="5">
        <v>4.5035999999999996</v>
      </c>
      <c r="U30" s="5">
        <v>2.7934000000000001</v>
      </c>
      <c r="V30" s="5">
        <v>17.8353</v>
      </c>
      <c r="W30" s="5">
        <v>6.6089000000000002</v>
      </c>
      <c r="X30" s="5">
        <v>15.577400000000001</v>
      </c>
      <c r="AA30" s="4">
        <f>SUM(B30:M30)</f>
        <v>53</v>
      </c>
      <c r="AB30" s="5">
        <f>SUM(N30:Y30)</f>
        <v>199.63919999999999</v>
      </c>
    </row>
    <row r="31" spans="1:28" x14ac:dyDescent="0.2">
      <c r="A31" t="s">
        <v>8</v>
      </c>
      <c r="B31" s="4">
        <v>6</v>
      </c>
      <c r="C31" s="4">
        <v>8</v>
      </c>
      <c r="D31" s="4">
        <v>2</v>
      </c>
      <c r="E31" s="4">
        <v>2</v>
      </c>
      <c r="H31" s="4">
        <v>1</v>
      </c>
      <c r="I31" s="4">
        <v>1</v>
      </c>
      <c r="J31" s="4">
        <v>1</v>
      </c>
      <c r="K31" s="4">
        <v>1</v>
      </c>
      <c r="N31" s="5">
        <v>4.6314000000000002</v>
      </c>
      <c r="O31" s="5">
        <v>6.2553999999999998</v>
      </c>
      <c r="P31" s="5">
        <v>1.8965000000000001</v>
      </c>
      <c r="Q31" s="5">
        <v>1.1482000000000001</v>
      </c>
      <c r="T31" s="5">
        <v>0.57410000000000005</v>
      </c>
      <c r="U31" s="5">
        <v>1.6262000000000001</v>
      </c>
      <c r="V31" s="5">
        <v>0.57299999999999995</v>
      </c>
      <c r="W31" s="5">
        <v>0.57299999999999995</v>
      </c>
      <c r="AA31" s="4">
        <f>SUM(B31:M31)</f>
        <v>22</v>
      </c>
      <c r="AB31" s="5">
        <f>SUM(N31:Y31)</f>
        <v>17.277799999999999</v>
      </c>
    </row>
    <row r="32" spans="1:28" x14ac:dyDescent="0.2">
      <c r="A32" t="s">
        <v>11</v>
      </c>
      <c r="K32" s="4">
        <v>1</v>
      </c>
      <c r="W32" s="5">
        <v>4.4382999999999999</v>
      </c>
      <c r="AA32" s="4">
        <f>SUM(B32:M32)</f>
        <v>1</v>
      </c>
      <c r="AB32" s="5">
        <f>SUM(N32:Y32)</f>
        <v>4.4382999999999999</v>
      </c>
    </row>
    <row r="33" spans="1:28" x14ac:dyDescent="0.2">
      <c r="A33" t="s">
        <v>9</v>
      </c>
      <c r="B33" s="4">
        <v>8</v>
      </c>
      <c r="C33" s="4">
        <v>17</v>
      </c>
      <c r="D33" s="4">
        <v>1</v>
      </c>
      <c r="J33" s="4">
        <v>1</v>
      </c>
      <c r="K33" s="4">
        <v>1</v>
      </c>
      <c r="N33" s="5">
        <v>12.5547</v>
      </c>
      <c r="O33" s="5">
        <v>45.766599999999997</v>
      </c>
      <c r="P33" s="5">
        <v>1.8166</v>
      </c>
      <c r="V33" s="5">
        <v>0.59240000000000004</v>
      </c>
      <c r="W33" s="5">
        <v>0.59240000000000004</v>
      </c>
      <c r="AA33" s="4">
        <f>SUM(B33:M33)</f>
        <v>28</v>
      </c>
      <c r="AB33" s="5">
        <f>SUM(N33:Y33)</f>
        <v>61.32269999999999</v>
      </c>
    </row>
    <row r="34" spans="1:28" x14ac:dyDescent="0.2">
      <c r="A34" t="s">
        <v>14</v>
      </c>
      <c r="B34" s="4">
        <v>178</v>
      </c>
      <c r="C34" s="4">
        <v>240</v>
      </c>
      <c r="D34" s="4">
        <v>180</v>
      </c>
      <c r="E34" s="4">
        <v>106</v>
      </c>
      <c r="F34" s="4">
        <v>26</v>
      </c>
      <c r="G34" s="4">
        <v>7</v>
      </c>
      <c r="H34" s="4">
        <v>20</v>
      </c>
      <c r="I34" s="4">
        <v>51</v>
      </c>
      <c r="J34" s="4">
        <v>53</v>
      </c>
      <c r="K34" s="4">
        <v>62</v>
      </c>
      <c r="L34" s="4">
        <v>37</v>
      </c>
      <c r="M34" s="4">
        <v>36</v>
      </c>
      <c r="N34" s="5">
        <v>456.56290000000001</v>
      </c>
      <c r="O34" s="5">
        <v>485.82339999999999</v>
      </c>
      <c r="P34" s="5">
        <v>289.61629999999997</v>
      </c>
      <c r="Q34" s="5">
        <v>222.99570000000003</v>
      </c>
      <c r="R34" s="5">
        <v>90.720399999999998</v>
      </c>
      <c r="S34" s="5">
        <v>37.408200000000001</v>
      </c>
      <c r="T34" s="5">
        <v>29.0092</v>
      </c>
      <c r="U34" s="5">
        <v>105.0189</v>
      </c>
      <c r="V34" s="5">
        <v>69.244499999999988</v>
      </c>
      <c r="W34" s="5">
        <v>110.6056</v>
      </c>
      <c r="X34" s="5">
        <v>85.922299999999993</v>
      </c>
      <c r="Y34" s="5">
        <v>62.083100000000002</v>
      </c>
      <c r="AA34" s="6">
        <f>SUM(B34:M34)</f>
        <v>996</v>
      </c>
      <c r="AB34" s="10">
        <f>SUM(N34:Y34)</f>
        <v>2045.0105000000001</v>
      </c>
    </row>
    <row r="35" spans="1:28" x14ac:dyDescent="0.2">
      <c r="AB35" s="5"/>
    </row>
    <row r="36" spans="1:28" x14ac:dyDescent="0.2">
      <c r="A36" s="2" t="s">
        <v>5</v>
      </c>
      <c r="B36" s="4">
        <f>B27</f>
        <v>154</v>
      </c>
      <c r="C36" s="4">
        <f t="shared" ref="C36:Y36" si="0">C27</f>
        <v>197</v>
      </c>
      <c r="D36" s="4">
        <f t="shared" si="0"/>
        <v>166</v>
      </c>
      <c r="E36" s="4">
        <f t="shared" si="0"/>
        <v>90</v>
      </c>
      <c r="F36" s="4">
        <f t="shared" si="0"/>
        <v>25</v>
      </c>
      <c r="G36" s="4">
        <f t="shared" si="0"/>
        <v>6</v>
      </c>
      <c r="H36" s="4">
        <f t="shared" si="0"/>
        <v>19</v>
      </c>
      <c r="I36" s="4">
        <f t="shared" si="0"/>
        <v>47</v>
      </c>
      <c r="J36" s="4">
        <f t="shared" si="0"/>
        <v>47</v>
      </c>
      <c r="K36" s="4">
        <f t="shared" si="0"/>
        <v>57</v>
      </c>
      <c r="L36" s="4">
        <f t="shared" si="0"/>
        <v>33</v>
      </c>
      <c r="M36" s="4">
        <f t="shared" si="0"/>
        <v>36</v>
      </c>
      <c r="N36" s="4">
        <f t="shared" si="0"/>
        <v>415.74680000000001</v>
      </c>
      <c r="O36" s="4">
        <f t="shared" si="0"/>
        <v>355.43819999999999</v>
      </c>
      <c r="P36" s="4">
        <f t="shared" si="0"/>
        <v>258.13729999999998</v>
      </c>
      <c r="Q36" s="4">
        <f t="shared" si="0"/>
        <v>175.39750000000001</v>
      </c>
      <c r="R36" s="4">
        <f t="shared" si="0"/>
        <v>89.440799999999996</v>
      </c>
      <c r="S36" s="4">
        <f t="shared" si="0"/>
        <v>32.904600000000002</v>
      </c>
      <c r="T36" s="4">
        <f t="shared" si="0"/>
        <v>28.435099999999998</v>
      </c>
      <c r="U36" s="4">
        <f t="shared" si="0"/>
        <v>88.276399999999995</v>
      </c>
      <c r="V36" s="4">
        <f t="shared" si="0"/>
        <v>50.2438</v>
      </c>
      <c r="W36" s="4">
        <f t="shared" si="0"/>
        <v>98.393000000000001</v>
      </c>
      <c r="X36" s="4">
        <f t="shared" si="0"/>
        <v>68.548000000000002</v>
      </c>
      <c r="Y36" s="4">
        <f t="shared" si="0"/>
        <v>62.083100000000002</v>
      </c>
      <c r="AA36" s="4">
        <f>SUM(B36:M36)</f>
        <v>877</v>
      </c>
      <c r="AB36" s="5">
        <f>SUM(N36:Y36)</f>
        <v>1723.0445999999999</v>
      </c>
    </row>
    <row r="37" spans="1:28" x14ac:dyDescent="0.2">
      <c r="A37" s="2" t="s">
        <v>17</v>
      </c>
      <c r="B37" s="4">
        <f>B29+B30+B31+B32</f>
        <v>16</v>
      </c>
      <c r="C37" s="4">
        <f t="shared" ref="C37:Y37" si="1">C29+C30+C31+C32</f>
        <v>23</v>
      </c>
      <c r="D37" s="4">
        <f t="shared" si="1"/>
        <v>13</v>
      </c>
      <c r="E37" s="4">
        <f t="shared" si="1"/>
        <v>16</v>
      </c>
      <c r="F37" s="4">
        <f t="shared" si="1"/>
        <v>1</v>
      </c>
      <c r="G37" s="4">
        <f t="shared" si="1"/>
        <v>1</v>
      </c>
      <c r="H37" s="4">
        <f t="shared" si="1"/>
        <v>1</v>
      </c>
      <c r="I37" s="4">
        <f t="shared" si="1"/>
        <v>2</v>
      </c>
      <c r="J37" s="4">
        <f t="shared" si="1"/>
        <v>5</v>
      </c>
      <c r="K37" s="4">
        <f t="shared" si="1"/>
        <v>4</v>
      </c>
      <c r="L37" s="4">
        <f t="shared" si="1"/>
        <v>4</v>
      </c>
      <c r="M37" s="4">
        <f t="shared" si="1"/>
        <v>0</v>
      </c>
      <c r="N37" s="4">
        <f t="shared" si="1"/>
        <v>28.261399999999998</v>
      </c>
      <c r="O37" s="4">
        <f t="shared" si="1"/>
        <v>75.341199999999986</v>
      </c>
      <c r="P37" s="4">
        <f t="shared" si="1"/>
        <v>29.662400000000002</v>
      </c>
      <c r="Q37" s="4">
        <f t="shared" si="1"/>
        <v>47.598200000000006</v>
      </c>
      <c r="R37" s="4">
        <f t="shared" si="1"/>
        <v>1.2796000000000001</v>
      </c>
      <c r="S37" s="4">
        <f t="shared" si="1"/>
        <v>4.5035999999999996</v>
      </c>
      <c r="T37" s="4">
        <f t="shared" si="1"/>
        <v>0.57410000000000005</v>
      </c>
      <c r="U37" s="4">
        <f t="shared" si="1"/>
        <v>4.4196</v>
      </c>
      <c r="V37" s="4">
        <f t="shared" si="1"/>
        <v>18.408300000000001</v>
      </c>
      <c r="W37" s="4">
        <f t="shared" si="1"/>
        <v>11.620200000000001</v>
      </c>
      <c r="X37" s="4">
        <f t="shared" si="1"/>
        <v>17.374300000000002</v>
      </c>
      <c r="Y37" s="4">
        <f t="shared" si="1"/>
        <v>0</v>
      </c>
      <c r="AA37" s="4">
        <f>SUM(B37:M37)</f>
        <v>86</v>
      </c>
      <c r="AB37" s="5">
        <f>SUM(N37:Y37)</f>
        <v>239.0429</v>
      </c>
    </row>
    <row r="38" spans="1:28" x14ac:dyDescent="0.2">
      <c r="A38" s="2" t="s">
        <v>18</v>
      </c>
      <c r="B38" s="4">
        <f>B28+B33</f>
        <v>8</v>
      </c>
      <c r="C38" s="4">
        <f t="shared" ref="C38:Y38" si="2">C28+C33</f>
        <v>20</v>
      </c>
      <c r="D38" s="4">
        <f t="shared" si="2"/>
        <v>1</v>
      </c>
      <c r="E38" s="4">
        <f t="shared" si="2"/>
        <v>0</v>
      </c>
      <c r="F38" s="4">
        <f t="shared" si="2"/>
        <v>0</v>
      </c>
      <c r="G38" s="4">
        <f t="shared" si="2"/>
        <v>0</v>
      </c>
      <c r="H38" s="4">
        <f t="shared" si="2"/>
        <v>0</v>
      </c>
      <c r="I38" s="4">
        <f t="shared" si="2"/>
        <v>2</v>
      </c>
      <c r="J38" s="4">
        <f t="shared" si="2"/>
        <v>1</v>
      </c>
      <c r="K38" s="4">
        <f t="shared" si="2"/>
        <v>1</v>
      </c>
      <c r="L38" s="4">
        <f t="shared" si="2"/>
        <v>0</v>
      </c>
      <c r="M38" s="4">
        <f t="shared" si="2"/>
        <v>0</v>
      </c>
      <c r="N38" s="4">
        <f t="shared" si="2"/>
        <v>12.5547</v>
      </c>
      <c r="O38" s="4">
        <f t="shared" si="2"/>
        <v>55.043999999999997</v>
      </c>
      <c r="P38" s="4">
        <f t="shared" si="2"/>
        <v>1.8166</v>
      </c>
      <c r="Q38" s="4">
        <f t="shared" si="2"/>
        <v>0</v>
      </c>
      <c r="R38" s="4">
        <f t="shared" si="2"/>
        <v>0</v>
      </c>
      <c r="S38" s="4">
        <f t="shared" si="2"/>
        <v>0</v>
      </c>
      <c r="T38" s="4">
        <f t="shared" si="2"/>
        <v>0</v>
      </c>
      <c r="U38" s="4">
        <f t="shared" si="2"/>
        <v>12.322900000000001</v>
      </c>
      <c r="V38" s="4">
        <f t="shared" si="2"/>
        <v>0.59240000000000004</v>
      </c>
      <c r="W38" s="4">
        <f t="shared" si="2"/>
        <v>0.59240000000000004</v>
      </c>
      <c r="X38" s="4">
        <f t="shared" si="2"/>
        <v>0</v>
      </c>
      <c r="Y38" s="4">
        <f t="shared" si="2"/>
        <v>0</v>
      </c>
      <c r="AA38" s="4">
        <f>SUM(B38:M38)</f>
        <v>33</v>
      </c>
      <c r="AB38" s="5">
        <f>SUM(N38:Y38)</f>
        <v>82.922999999999988</v>
      </c>
    </row>
    <row r="39" spans="1:28" x14ac:dyDescent="0.2">
      <c r="B39" s="6">
        <f>SUM(B36:B38)</f>
        <v>178</v>
      </c>
      <c r="C39" s="6">
        <f t="shared" ref="C39:Y39" si="3">SUM(C36:C38)</f>
        <v>240</v>
      </c>
      <c r="D39" s="6">
        <f t="shared" si="3"/>
        <v>180</v>
      </c>
      <c r="E39" s="6">
        <f t="shared" si="3"/>
        <v>106</v>
      </c>
      <c r="F39" s="6">
        <f t="shared" si="3"/>
        <v>26</v>
      </c>
      <c r="G39" s="6">
        <f t="shared" si="3"/>
        <v>7</v>
      </c>
      <c r="H39" s="6">
        <f t="shared" si="3"/>
        <v>20</v>
      </c>
      <c r="I39" s="6">
        <f t="shared" si="3"/>
        <v>51</v>
      </c>
      <c r="J39" s="6">
        <f t="shared" si="3"/>
        <v>53</v>
      </c>
      <c r="K39" s="6">
        <f t="shared" si="3"/>
        <v>62</v>
      </c>
      <c r="L39" s="6">
        <f t="shared" si="3"/>
        <v>37</v>
      </c>
      <c r="M39" s="6">
        <f t="shared" si="3"/>
        <v>36</v>
      </c>
      <c r="N39" s="6">
        <f t="shared" si="3"/>
        <v>456.56290000000001</v>
      </c>
      <c r="O39" s="6">
        <f t="shared" si="3"/>
        <v>485.82339999999999</v>
      </c>
      <c r="P39" s="6">
        <f t="shared" si="3"/>
        <v>289.61629999999997</v>
      </c>
      <c r="Q39" s="6">
        <f t="shared" si="3"/>
        <v>222.9957</v>
      </c>
      <c r="R39" s="6">
        <f t="shared" si="3"/>
        <v>90.720399999999998</v>
      </c>
      <c r="S39" s="6">
        <f t="shared" si="3"/>
        <v>37.408200000000001</v>
      </c>
      <c r="T39" s="6">
        <f t="shared" si="3"/>
        <v>29.0092</v>
      </c>
      <c r="U39" s="6">
        <f t="shared" si="3"/>
        <v>105.0189</v>
      </c>
      <c r="V39" s="6">
        <f t="shared" si="3"/>
        <v>69.244500000000002</v>
      </c>
      <c r="W39" s="6">
        <f t="shared" si="3"/>
        <v>110.6056</v>
      </c>
      <c r="X39" s="6">
        <f t="shared" si="3"/>
        <v>85.922300000000007</v>
      </c>
      <c r="Y39" s="6">
        <f t="shared" si="3"/>
        <v>62.083100000000002</v>
      </c>
      <c r="AA39" s="6">
        <f>SUM(B39:M39)</f>
        <v>996</v>
      </c>
      <c r="AB39" s="10">
        <f>SUM(N39:Y39)</f>
        <v>2045.0105000000001</v>
      </c>
    </row>
    <row r="40" spans="1:28" x14ac:dyDescent="0.2">
      <c r="A40" t="s">
        <v>19</v>
      </c>
      <c r="B40" s="4">
        <f>B31+B32</f>
        <v>6</v>
      </c>
      <c r="C40" s="4">
        <f t="shared" ref="C40:Y40" si="4">C31+C32</f>
        <v>8</v>
      </c>
      <c r="D40" s="4">
        <f t="shared" si="4"/>
        <v>2</v>
      </c>
      <c r="E40" s="4">
        <f t="shared" si="4"/>
        <v>2</v>
      </c>
      <c r="F40" s="4">
        <f t="shared" si="4"/>
        <v>0</v>
      </c>
      <c r="G40" s="4">
        <f t="shared" si="4"/>
        <v>0</v>
      </c>
      <c r="H40" s="4">
        <f t="shared" si="4"/>
        <v>1</v>
      </c>
      <c r="I40" s="4">
        <f t="shared" si="4"/>
        <v>1</v>
      </c>
      <c r="J40" s="4">
        <f t="shared" si="4"/>
        <v>1</v>
      </c>
      <c r="K40" s="4">
        <f t="shared" si="4"/>
        <v>2</v>
      </c>
      <c r="L40" s="4">
        <f t="shared" si="4"/>
        <v>0</v>
      </c>
      <c r="M40" s="4">
        <f t="shared" si="4"/>
        <v>0</v>
      </c>
      <c r="N40" s="4">
        <f t="shared" si="4"/>
        <v>4.6314000000000002</v>
      </c>
      <c r="O40" s="4">
        <f t="shared" si="4"/>
        <v>6.2553999999999998</v>
      </c>
      <c r="P40" s="4">
        <f t="shared" si="4"/>
        <v>1.8965000000000001</v>
      </c>
      <c r="Q40" s="4">
        <f t="shared" si="4"/>
        <v>1.1482000000000001</v>
      </c>
      <c r="R40" s="4">
        <f t="shared" si="4"/>
        <v>0</v>
      </c>
      <c r="S40" s="4">
        <f t="shared" si="4"/>
        <v>0</v>
      </c>
      <c r="T40" s="4">
        <f t="shared" si="4"/>
        <v>0.57410000000000005</v>
      </c>
      <c r="U40" s="4">
        <f t="shared" si="4"/>
        <v>1.6262000000000001</v>
      </c>
      <c r="V40" s="4">
        <f t="shared" si="4"/>
        <v>0.57299999999999995</v>
      </c>
      <c r="W40" s="4">
        <f t="shared" si="4"/>
        <v>5.0113000000000003</v>
      </c>
      <c r="X40" s="4">
        <f t="shared" si="4"/>
        <v>0</v>
      </c>
      <c r="Y40" s="4">
        <f t="shared" si="4"/>
        <v>0</v>
      </c>
      <c r="AA40" s="4">
        <f>SUM(B40:M40)</f>
        <v>23</v>
      </c>
      <c r="AB40" s="5">
        <f>SUM(N40:Y40)</f>
        <v>21.716099999999997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173E-F057-474C-B8C3-472059964453}">
  <dimension ref="A1:E44"/>
  <sheetViews>
    <sheetView workbookViewId="0">
      <selection sqref="A1:E44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3.85546875" bestFit="1" customWidth="1"/>
    <col min="4" max="4" width="4" bestFit="1" customWidth="1"/>
    <col min="5" max="5" width="9" bestFit="1" customWidth="1"/>
  </cols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2022</v>
      </c>
      <c r="B2">
        <v>1</v>
      </c>
      <c r="C2" t="s">
        <v>5</v>
      </c>
      <c r="D2">
        <v>154</v>
      </c>
      <c r="E2">
        <v>415.74680000000001</v>
      </c>
    </row>
    <row r="3" spans="1:5" x14ac:dyDescent="0.2">
      <c r="A3">
        <v>2022</v>
      </c>
      <c r="B3">
        <v>1</v>
      </c>
      <c r="C3" t="s">
        <v>6</v>
      </c>
      <c r="D3">
        <v>2</v>
      </c>
      <c r="E3">
        <v>2.6025</v>
      </c>
    </row>
    <row r="4" spans="1:5" x14ac:dyDescent="0.2">
      <c r="A4">
        <v>2022</v>
      </c>
      <c r="B4">
        <v>1</v>
      </c>
      <c r="C4" t="s">
        <v>7</v>
      </c>
      <c r="D4">
        <v>8</v>
      </c>
      <c r="E4">
        <v>21.0275</v>
      </c>
    </row>
    <row r="5" spans="1:5" x14ac:dyDescent="0.2">
      <c r="A5">
        <v>2022</v>
      </c>
      <c r="B5">
        <v>1</v>
      </c>
      <c r="C5" t="s">
        <v>8</v>
      </c>
      <c r="D5">
        <v>6</v>
      </c>
      <c r="E5">
        <v>4.6314000000000002</v>
      </c>
    </row>
    <row r="6" spans="1:5" x14ac:dyDescent="0.2">
      <c r="A6">
        <v>2022</v>
      </c>
      <c r="B6">
        <v>1</v>
      </c>
      <c r="C6" t="s">
        <v>9</v>
      </c>
      <c r="D6">
        <v>8</v>
      </c>
      <c r="E6">
        <v>12.5547</v>
      </c>
    </row>
    <row r="7" spans="1:5" x14ac:dyDescent="0.2">
      <c r="A7">
        <v>2022</v>
      </c>
      <c r="B7">
        <v>2</v>
      </c>
      <c r="C7" t="s">
        <v>5</v>
      </c>
      <c r="D7">
        <v>197</v>
      </c>
      <c r="E7">
        <v>355.43819999999999</v>
      </c>
    </row>
    <row r="8" spans="1:5" x14ac:dyDescent="0.2">
      <c r="A8">
        <v>2022</v>
      </c>
      <c r="B8">
        <v>2</v>
      </c>
      <c r="C8" t="s">
        <v>10</v>
      </c>
      <c r="D8">
        <v>3</v>
      </c>
      <c r="E8">
        <v>9.2774000000000001</v>
      </c>
    </row>
    <row r="9" spans="1:5" x14ac:dyDescent="0.2">
      <c r="A9">
        <v>2022</v>
      </c>
      <c r="B9">
        <v>2</v>
      </c>
      <c r="C9" t="s">
        <v>6</v>
      </c>
      <c r="D9">
        <v>3</v>
      </c>
      <c r="E9">
        <v>3.2481</v>
      </c>
    </row>
    <row r="10" spans="1:5" x14ac:dyDescent="0.2">
      <c r="A10">
        <v>2022</v>
      </c>
      <c r="B10">
        <v>2</v>
      </c>
      <c r="C10" t="s">
        <v>7</v>
      </c>
      <c r="D10">
        <v>12</v>
      </c>
      <c r="E10">
        <v>65.837699999999998</v>
      </c>
    </row>
    <row r="11" spans="1:5" x14ac:dyDescent="0.2">
      <c r="A11">
        <v>2022</v>
      </c>
      <c r="B11">
        <v>2</v>
      </c>
      <c r="C11" t="s">
        <v>8</v>
      </c>
      <c r="D11">
        <v>8</v>
      </c>
      <c r="E11">
        <v>6.2553999999999998</v>
      </c>
    </row>
    <row r="12" spans="1:5" x14ac:dyDescent="0.2">
      <c r="A12">
        <v>2022</v>
      </c>
      <c r="B12">
        <v>2</v>
      </c>
      <c r="C12" t="s">
        <v>9</v>
      </c>
      <c r="D12">
        <v>17</v>
      </c>
      <c r="E12">
        <v>45.766599999999997</v>
      </c>
    </row>
    <row r="13" spans="1:5" x14ac:dyDescent="0.2">
      <c r="A13">
        <v>2022</v>
      </c>
      <c r="B13">
        <v>3</v>
      </c>
      <c r="C13" t="s">
        <v>5</v>
      </c>
      <c r="D13">
        <v>166</v>
      </c>
      <c r="E13">
        <v>258.13729999999998</v>
      </c>
    </row>
    <row r="14" spans="1:5" x14ac:dyDescent="0.2">
      <c r="A14">
        <v>2022</v>
      </c>
      <c r="B14">
        <v>3</v>
      </c>
      <c r="C14" t="s">
        <v>6</v>
      </c>
      <c r="D14">
        <v>2</v>
      </c>
      <c r="E14">
        <v>4.0084</v>
      </c>
    </row>
    <row r="15" spans="1:5" x14ac:dyDescent="0.2">
      <c r="A15">
        <v>2022</v>
      </c>
      <c r="B15">
        <v>3</v>
      </c>
      <c r="C15" t="s">
        <v>7</v>
      </c>
      <c r="D15">
        <v>9</v>
      </c>
      <c r="E15">
        <v>23.7575</v>
      </c>
    </row>
    <row r="16" spans="1:5" x14ac:dyDescent="0.2">
      <c r="A16">
        <v>2022</v>
      </c>
      <c r="B16">
        <v>3</v>
      </c>
      <c r="C16" t="s">
        <v>8</v>
      </c>
      <c r="D16">
        <v>2</v>
      </c>
      <c r="E16">
        <v>1.8965000000000001</v>
      </c>
    </row>
    <row r="17" spans="1:5" x14ac:dyDescent="0.2">
      <c r="A17">
        <v>2022</v>
      </c>
      <c r="B17">
        <v>3</v>
      </c>
      <c r="C17" t="s">
        <v>9</v>
      </c>
      <c r="D17">
        <v>1</v>
      </c>
      <c r="E17">
        <v>1.8166</v>
      </c>
    </row>
    <row r="18" spans="1:5" x14ac:dyDescent="0.2">
      <c r="A18">
        <v>2022</v>
      </c>
      <c r="B18">
        <v>4</v>
      </c>
      <c r="C18" t="s">
        <v>5</v>
      </c>
      <c r="D18">
        <v>90</v>
      </c>
      <c r="E18">
        <v>175.39750000000001</v>
      </c>
    </row>
    <row r="19" spans="1:5" x14ac:dyDescent="0.2">
      <c r="A19">
        <v>2022</v>
      </c>
      <c r="B19">
        <v>4</v>
      </c>
      <c r="C19" t="s">
        <v>6</v>
      </c>
      <c r="D19">
        <v>2</v>
      </c>
      <c r="E19">
        <v>6.0316999999999998</v>
      </c>
    </row>
    <row r="20" spans="1:5" x14ac:dyDescent="0.2">
      <c r="A20">
        <v>2022</v>
      </c>
      <c r="B20">
        <v>4</v>
      </c>
      <c r="C20" t="s">
        <v>7</v>
      </c>
      <c r="D20">
        <v>12</v>
      </c>
      <c r="E20">
        <v>40.418300000000002</v>
      </c>
    </row>
    <row r="21" spans="1:5" x14ac:dyDescent="0.2">
      <c r="A21">
        <v>2022</v>
      </c>
      <c r="B21">
        <v>4</v>
      </c>
      <c r="C21" t="s">
        <v>8</v>
      </c>
      <c r="D21">
        <v>2</v>
      </c>
      <c r="E21">
        <v>1.1482000000000001</v>
      </c>
    </row>
    <row r="22" spans="1:5" x14ac:dyDescent="0.2">
      <c r="A22">
        <v>2022</v>
      </c>
      <c r="B22">
        <v>5</v>
      </c>
      <c r="C22" t="s">
        <v>5</v>
      </c>
      <c r="D22">
        <v>25</v>
      </c>
      <c r="E22">
        <v>89.440799999999996</v>
      </c>
    </row>
    <row r="23" spans="1:5" x14ac:dyDescent="0.2">
      <c r="A23">
        <v>2022</v>
      </c>
      <c r="B23">
        <v>5</v>
      </c>
      <c r="C23" t="s">
        <v>7</v>
      </c>
      <c r="D23">
        <v>1</v>
      </c>
      <c r="E23">
        <v>1.2796000000000001</v>
      </c>
    </row>
    <row r="24" spans="1:5" x14ac:dyDescent="0.2">
      <c r="A24">
        <v>2022</v>
      </c>
      <c r="B24">
        <v>6</v>
      </c>
      <c r="C24" t="s">
        <v>5</v>
      </c>
      <c r="D24">
        <v>6</v>
      </c>
      <c r="E24">
        <v>32.904600000000002</v>
      </c>
    </row>
    <row r="25" spans="1:5" x14ac:dyDescent="0.2">
      <c r="A25">
        <v>2022</v>
      </c>
      <c r="B25">
        <v>6</v>
      </c>
      <c r="C25" t="s">
        <v>7</v>
      </c>
      <c r="D25">
        <v>1</v>
      </c>
      <c r="E25">
        <v>4.5035999999999996</v>
      </c>
    </row>
    <row r="26" spans="1:5" x14ac:dyDescent="0.2">
      <c r="A26">
        <v>2022</v>
      </c>
      <c r="B26">
        <v>7</v>
      </c>
      <c r="C26" t="s">
        <v>5</v>
      </c>
      <c r="D26">
        <v>19</v>
      </c>
      <c r="E26">
        <v>28.435099999999998</v>
      </c>
    </row>
    <row r="27" spans="1:5" x14ac:dyDescent="0.2">
      <c r="A27">
        <v>2022</v>
      </c>
      <c r="B27">
        <v>7</v>
      </c>
      <c r="C27" t="s">
        <v>8</v>
      </c>
      <c r="D27">
        <v>1</v>
      </c>
      <c r="E27">
        <v>0.57410000000000005</v>
      </c>
    </row>
    <row r="28" spans="1:5" x14ac:dyDescent="0.2">
      <c r="A28">
        <v>2022</v>
      </c>
      <c r="B28">
        <v>8</v>
      </c>
      <c r="C28" t="s">
        <v>5</v>
      </c>
      <c r="D28">
        <v>47</v>
      </c>
      <c r="E28">
        <v>88.276399999999995</v>
      </c>
    </row>
    <row r="29" spans="1:5" x14ac:dyDescent="0.2">
      <c r="A29">
        <v>2022</v>
      </c>
      <c r="B29">
        <v>8</v>
      </c>
      <c r="C29" t="s">
        <v>10</v>
      </c>
      <c r="D29">
        <v>2</v>
      </c>
      <c r="E29">
        <v>12.322900000000001</v>
      </c>
    </row>
    <row r="30" spans="1:5" x14ac:dyDescent="0.2">
      <c r="A30">
        <v>2022</v>
      </c>
      <c r="B30">
        <v>8</v>
      </c>
      <c r="C30" t="s">
        <v>7</v>
      </c>
      <c r="D30">
        <v>1</v>
      </c>
      <c r="E30">
        <v>2.7934000000000001</v>
      </c>
    </row>
    <row r="31" spans="1:5" x14ac:dyDescent="0.2">
      <c r="A31">
        <v>2022</v>
      </c>
      <c r="B31">
        <v>8</v>
      </c>
      <c r="C31" t="s">
        <v>8</v>
      </c>
      <c r="D31">
        <v>1</v>
      </c>
      <c r="E31">
        <v>1.6262000000000001</v>
      </c>
    </row>
    <row r="32" spans="1:5" x14ac:dyDescent="0.2">
      <c r="A32">
        <v>2022</v>
      </c>
      <c r="B32">
        <v>9</v>
      </c>
      <c r="C32" t="s">
        <v>5</v>
      </c>
      <c r="D32">
        <v>47</v>
      </c>
      <c r="E32">
        <v>50.2438</v>
      </c>
    </row>
    <row r="33" spans="1:5" x14ac:dyDescent="0.2">
      <c r="A33">
        <v>2022</v>
      </c>
      <c r="B33">
        <v>9</v>
      </c>
      <c r="C33" t="s">
        <v>7</v>
      </c>
      <c r="D33">
        <v>4</v>
      </c>
      <c r="E33">
        <v>17.8353</v>
      </c>
    </row>
    <row r="34" spans="1:5" x14ac:dyDescent="0.2">
      <c r="A34">
        <v>2022</v>
      </c>
      <c r="B34">
        <v>9</v>
      </c>
      <c r="C34" t="s">
        <v>8</v>
      </c>
      <c r="D34">
        <v>1</v>
      </c>
      <c r="E34">
        <v>0.57299999999999995</v>
      </c>
    </row>
    <row r="35" spans="1:5" x14ac:dyDescent="0.2">
      <c r="A35">
        <v>2022</v>
      </c>
      <c r="B35">
        <v>9</v>
      </c>
      <c r="C35" t="s">
        <v>9</v>
      </c>
      <c r="D35">
        <v>1</v>
      </c>
      <c r="E35">
        <v>0.59240000000000004</v>
      </c>
    </row>
    <row r="36" spans="1:5" x14ac:dyDescent="0.2">
      <c r="A36">
        <v>2022</v>
      </c>
      <c r="B36">
        <v>10</v>
      </c>
      <c r="C36" t="s">
        <v>5</v>
      </c>
      <c r="D36">
        <v>57</v>
      </c>
      <c r="E36">
        <v>98.393000000000001</v>
      </c>
    </row>
    <row r="37" spans="1:5" x14ac:dyDescent="0.2">
      <c r="A37">
        <v>2022</v>
      </c>
      <c r="B37">
        <v>10</v>
      </c>
      <c r="C37" t="s">
        <v>7</v>
      </c>
      <c r="D37">
        <v>2</v>
      </c>
      <c r="E37">
        <v>6.6089000000000002</v>
      </c>
    </row>
    <row r="38" spans="1:5" x14ac:dyDescent="0.2">
      <c r="A38">
        <v>2022</v>
      </c>
      <c r="B38">
        <v>10</v>
      </c>
      <c r="C38" t="s">
        <v>8</v>
      </c>
      <c r="D38">
        <v>1</v>
      </c>
      <c r="E38">
        <v>0.57299999999999995</v>
      </c>
    </row>
    <row r="39" spans="1:5" x14ac:dyDescent="0.2">
      <c r="A39">
        <v>2022</v>
      </c>
      <c r="B39">
        <v>10</v>
      </c>
      <c r="C39" t="s">
        <v>11</v>
      </c>
      <c r="D39">
        <v>1</v>
      </c>
      <c r="E39">
        <v>4.4382999999999999</v>
      </c>
    </row>
    <row r="40" spans="1:5" x14ac:dyDescent="0.2">
      <c r="A40">
        <v>2022</v>
      </c>
      <c r="B40">
        <v>10</v>
      </c>
      <c r="C40" t="s">
        <v>9</v>
      </c>
      <c r="D40">
        <v>1</v>
      </c>
      <c r="E40">
        <v>0.59240000000000004</v>
      </c>
    </row>
    <row r="41" spans="1:5" x14ac:dyDescent="0.2">
      <c r="A41">
        <v>2022</v>
      </c>
      <c r="B41">
        <v>11</v>
      </c>
      <c r="C41" t="s">
        <v>5</v>
      </c>
      <c r="D41">
        <v>33</v>
      </c>
      <c r="E41">
        <v>68.548000000000002</v>
      </c>
    </row>
    <row r="42" spans="1:5" x14ac:dyDescent="0.2">
      <c r="A42">
        <v>2022</v>
      </c>
      <c r="B42">
        <v>11</v>
      </c>
      <c r="C42" t="s">
        <v>6</v>
      </c>
      <c r="D42">
        <v>1</v>
      </c>
      <c r="E42">
        <v>1.7968999999999999</v>
      </c>
    </row>
    <row r="43" spans="1:5" x14ac:dyDescent="0.2">
      <c r="A43">
        <v>2022</v>
      </c>
      <c r="B43">
        <v>11</v>
      </c>
      <c r="C43" t="s">
        <v>7</v>
      </c>
      <c r="D43">
        <v>3</v>
      </c>
      <c r="E43">
        <v>15.577400000000001</v>
      </c>
    </row>
    <row r="44" spans="1:5" x14ac:dyDescent="0.2">
      <c r="A44">
        <v>2022</v>
      </c>
      <c r="B44">
        <v>12</v>
      </c>
      <c r="C44" t="s">
        <v>5</v>
      </c>
      <c r="D44">
        <v>36</v>
      </c>
      <c r="E44">
        <v>62.083100000000002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2023-01-23T11:53:28Z</dcterms:created>
  <dcterms:modified xsi:type="dcterms:W3CDTF">2023-01-23T14:18:11Z</dcterms:modified>
</cp:coreProperties>
</file>