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INVESTICE FNOL\2018\Nové položky 2018\OBN\"/>
    </mc:Choice>
  </mc:AlternateContent>
  <bookViews>
    <workbookView xWindow="0" yWindow="0" windowWidth="28770" windowHeight="12285"/>
  </bookViews>
  <sheets>
    <sheet name="INVPL" sheetId="2" r:id="rId1"/>
    <sheet name="položkově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F40" i="1"/>
  <c r="F13" i="2"/>
  <c r="F39" i="1"/>
  <c r="F32" i="1"/>
  <c r="F38" i="1"/>
  <c r="F12" i="2" s="1"/>
  <c r="F11" i="2"/>
  <c r="F33" i="1"/>
  <c r="F15" i="2"/>
  <c r="F7" i="2"/>
  <c r="G5" i="2"/>
  <c r="F35" i="1"/>
  <c r="F30" i="1"/>
  <c r="F28" i="1"/>
  <c r="F24" i="1"/>
  <c r="F27" i="1"/>
  <c r="F26" i="1"/>
  <c r="F37" i="1"/>
  <c r="F9" i="2" s="1"/>
  <c r="F34" i="1"/>
  <c r="F19" i="1"/>
  <c r="F16" i="1"/>
  <c r="F36" i="1"/>
  <c r="F14" i="1" l="1"/>
  <c r="F18" i="1"/>
  <c r="F25" i="1" s="1"/>
  <c r="F17" i="1"/>
  <c r="F15" i="1"/>
  <c r="F11" i="1"/>
  <c r="F10" i="1"/>
  <c r="F9" i="1"/>
  <c r="F8" i="1"/>
  <c r="F7" i="1"/>
  <c r="F6" i="1"/>
  <c r="F31" i="1"/>
  <c r="F12" i="1"/>
  <c r="F10" i="2" l="1"/>
  <c r="F23" i="1"/>
  <c r="F20" i="1"/>
  <c r="F22" i="1" s="1"/>
  <c r="F29" i="1"/>
  <c r="F8" i="2" s="1"/>
  <c r="F21" i="1"/>
  <c r="F6" i="2"/>
  <c r="G5" i="1"/>
  <c r="F5" i="2" l="1"/>
  <c r="F5" i="1"/>
</calcChain>
</file>

<file path=xl/sharedStrings.xml><?xml version="1.0" encoding="utf-8"?>
<sst xmlns="http://schemas.openxmlformats.org/spreadsheetml/2006/main" count="87" uniqueCount="61">
  <si>
    <t>Předmět plnění</t>
  </si>
  <si>
    <t>Kapitola</t>
  </si>
  <si>
    <t>Správce kapitoly</t>
  </si>
  <si>
    <t>Příjemce investice (uživatel)</t>
  </si>
  <si>
    <t>Počet kusů</t>
  </si>
  <si>
    <t>Předpokládaná cena investice</t>
  </si>
  <si>
    <t>Podíl vlastních zdrojů</t>
  </si>
  <si>
    <t>Podíl cizích zdrojů</t>
  </si>
  <si>
    <t>Seznam položek k zařazení do INVPL 2017</t>
  </si>
  <si>
    <t>Za věcnou a formální správnost ručí:</t>
  </si>
  <si>
    <t>………………………………</t>
  </si>
  <si>
    <t>Seznam nových položek schválil:</t>
  </si>
  <si>
    <t>V Olomouci dne:</t>
  </si>
  <si>
    <t>Předáno:</t>
  </si>
  <si>
    <t>Zdroj cizího krytí nebo poznámka</t>
  </si>
  <si>
    <t xml:space="preserve">za </t>
  </si>
  <si>
    <t>4.</t>
  </si>
  <si>
    <t>Ostatní investice</t>
  </si>
  <si>
    <t>4.2.</t>
  </si>
  <si>
    <t>OBN  - Ostatní investice</t>
  </si>
  <si>
    <t>oblast ostatních investic</t>
  </si>
  <si>
    <t>Ing.Roman Žurek</t>
  </si>
  <si>
    <t>GYNPOR- Vyvolávací systém</t>
  </si>
  <si>
    <t>GEN- Vyvolávací systém</t>
  </si>
  <si>
    <t>Vyvolávací systém Stomatologická kl. Palackého</t>
  </si>
  <si>
    <t>Vyvolávací systém NEUR ambulance</t>
  </si>
  <si>
    <t>Vyvolávací systém Nová lékárna</t>
  </si>
  <si>
    <t>Vyvolávací systém NCHIR ambulance</t>
  </si>
  <si>
    <t>Analýza elektronických systémů</t>
  </si>
  <si>
    <t>CCTV- URGENT- doplnění</t>
  </si>
  <si>
    <t>Zabezpečení radionuklidového zdroje- Transfuzka</t>
  </si>
  <si>
    <t>Zabezpečení radionuklidového zdroje- Brychyterapie</t>
  </si>
  <si>
    <t>Doplnění EZS systému</t>
  </si>
  <si>
    <t>CCTV RTG</t>
  </si>
  <si>
    <t>CCTV- budova "A", 2NP</t>
  </si>
  <si>
    <t>CCTV PSY- rekonstrukce kamerového systému</t>
  </si>
  <si>
    <t>CCTV ORL- doplnění ambulance</t>
  </si>
  <si>
    <t>Analýza stávajících Kamerových systémů v rámci jednotlivých odd. FNOL</t>
  </si>
  <si>
    <t>Záznamový server pro ostrahu FNOL</t>
  </si>
  <si>
    <t>Další CCTV pro odd. - ostraha FNOL</t>
  </si>
  <si>
    <t>Záznamový server CCTV - A, C, D, G, H1, H2, E1, J1-J3, I, M, K, N</t>
  </si>
  <si>
    <t>Vyvolávací systém</t>
  </si>
  <si>
    <t>Zabezpečení radionuklidového zdroje</t>
  </si>
  <si>
    <t>CCTV- Objekty</t>
  </si>
  <si>
    <t>CCTV- venkovní část</t>
  </si>
  <si>
    <t>CCTV- ORT</t>
  </si>
  <si>
    <t>CCTV- Zubní- Palackého</t>
  </si>
  <si>
    <t>CCTV- DK</t>
  </si>
  <si>
    <t>CCTV- Kúčoch</t>
  </si>
  <si>
    <t>CCTV- GEN</t>
  </si>
  <si>
    <t>CCTV- Gynpor</t>
  </si>
  <si>
    <t>CCTV- monoblok</t>
  </si>
  <si>
    <t>CCTV- D1</t>
  </si>
  <si>
    <t>CCTV- D2</t>
  </si>
  <si>
    <t>CCTV- ONK, plic</t>
  </si>
  <si>
    <t>CCTV- Neur</t>
  </si>
  <si>
    <t>CCTV venek, parkoviště, veřejné plochy</t>
  </si>
  <si>
    <t>Doplnění systému sestra-pacient (rozšíření)</t>
  </si>
  <si>
    <t>Doplnění EZS systému, údržba</t>
  </si>
  <si>
    <t>Rozšíření EKV- přístupové systémy</t>
  </si>
  <si>
    <t>Tísňové bezpečnostní náramky- II.etapa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</si>
</sst>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b/>
      <sz val="11"/>
      <name val="Arial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i/>
      <sz val="9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3" fillId="3" borderId="1" xfId="0" applyNumberFormat="1" applyFont="1" applyFill="1" applyBorder="1"/>
    <xf numFmtId="0" fontId="4" fillId="3" borderId="2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3" fontId="5" fillId="3" borderId="3" xfId="0" applyNumberFormat="1" applyFont="1" applyFill="1" applyBorder="1"/>
    <xf numFmtId="3" fontId="5" fillId="3" borderId="12" xfId="0" applyNumberFormat="1" applyFont="1" applyFill="1" applyBorder="1"/>
    <xf numFmtId="3" fontId="5" fillId="3" borderId="2" xfId="0" applyNumberFormat="1" applyFont="1" applyFill="1" applyBorder="1"/>
    <xf numFmtId="0" fontId="5" fillId="3" borderId="5" xfId="0" applyFont="1" applyFill="1" applyBorder="1"/>
    <xf numFmtId="49" fontId="6" fillId="2" borderId="13" xfId="0" applyNumberFormat="1" applyFont="1" applyFill="1" applyBorder="1"/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9" fontId="5" fillId="4" borderId="1" xfId="0" applyNumberFormat="1" applyFont="1" applyFill="1" applyBorder="1"/>
    <xf numFmtId="0" fontId="8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3" fontId="6" fillId="4" borderId="3" xfId="0" applyNumberFormat="1" applyFont="1" applyFill="1" applyBorder="1"/>
    <xf numFmtId="3" fontId="6" fillId="4" borderId="12" xfId="0" applyNumberFormat="1" applyFont="1" applyFill="1" applyBorder="1"/>
    <xf numFmtId="3" fontId="6" fillId="4" borderId="2" xfId="0" applyNumberFormat="1" applyFont="1" applyFill="1" applyBorder="1" applyAlignment="1">
      <alignment horizontal="right"/>
    </xf>
    <xf numFmtId="4" fontId="6" fillId="4" borderId="5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10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3" fontId="6" fillId="0" borderId="9" xfId="0" applyNumberFormat="1" applyFont="1" applyFill="1" applyBorder="1"/>
    <xf numFmtId="3" fontId="10" fillId="0" borderId="10" xfId="0" applyNumberFormat="1" applyFont="1" applyBorder="1"/>
    <xf numFmtId="3" fontId="10" fillId="0" borderId="8" xfId="0" applyNumberFormat="1" applyFont="1" applyFill="1" applyBorder="1" applyAlignment="1">
      <alignment horizontal="right"/>
    </xf>
    <xf numFmtId="4" fontId="6" fillId="0" borderId="11" xfId="0" applyNumberFormat="1" applyFont="1" applyFill="1" applyBorder="1" applyAlignment="1">
      <alignment horizontal="center"/>
    </xf>
    <xf numFmtId="0" fontId="11" fillId="0" borderId="8" xfId="0" applyFont="1" applyBorder="1"/>
    <xf numFmtId="0" fontId="1" fillId="0" borderId="8" xfId="0" applyFont="1" applyBorder="1" applyAlignment="1">
      <alignment horizontal="center"/>
    </xf>
    <xf numFmtId="3" fontId="11" fillId="0" borderId="8" xfId="0" applyNumberFormat="1" applyFont="1" applyBorder="1"/>
    <xf numFmtId="0" fontId="1" fillId="0" borderId="8" xfId="0" applyFont="1" applyBorder="1"/>
    <xf numFmtId="0" fontId="11" fillId="0" borderId="8" xfId="0" applyFont="1" applyBorder="1" applyAlignment="1">
      <alignment horizontal="center"/>
    </xf>
    <xf numFmtId="3" fontId="1" fillId="0" borderId="0" xfId="0" applyNumberFormat="1" applyFont="1"/>
    <xf numFmtId="14" fontId="1" fillId="0" borderId="0" xfId="0" applyNumberFormat="1" applyFont="1"/>
    <xf numFmtId="0" fontId="11" fillId="0" borderId="8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pane ySplit="5" topLeftCell="A6" activePane="bottomLeft" state="frozen"/>
      <selection pane="bottomLeft" activeCell="I23" sqref="I23"/>
    </sheetView>
  </sheetViews>
  <sheetFormatPr defaultRowHeight="15" x14ac:dyDescent="0.25"/>
  <cols>
    <col min="1" max="1" width="8.28515625" style="1" customWidth="1"/>
    <col min="2" max="2" width="40.28515625" style="1" customWidth="1"/>
    <col min="3" max="3" width="10.140625" style="1" bestFit="1" customWidth="1"/>
    <col min="4" max="4" width="9.140625" style="1"/>
    <col min="5" max="5" width="6.7109375" style="4" customWidth="1"/>
    <col min="6" max="6" width="15" style="1" customWidth="1"/>
    <col min="7" max="7" width="13.140625" style="1" customWidth="1"/>
    <col min="8" max="8" width="10.42578125" style="1" customWidth="1"/>
    <col min="9" max="9" width="28.140625" style="1" customWidth="1"/>
    <col min="10" max="16384" width="9.140625" style="1"/>
  </cols>
  <sheetData>
    <row r="1" spans="1:9" ht="18.75" x14ac:dyDescent="0.3">
      <c r="B1" s="2" t="s">
        <v>8</v>
      </c>
      <c r="C1" s="3" t="s">
        <v>15</v>
      </c>
      <c r="D1" s="2" t="s">
        <v>20</v>
      </c>
      <c r="E1" s="3"/>
      <c r="F1" s="2"/>
      <c r="G1" s="3">
        <v>2018</v>
      </c>
    </row>
    <row r="2" spans="1:9" ht="15.75" thickBot="1" x14ac:dyDescent="0.3"/>
    <row r="3" spans="1:9" ht="15.75" thickBot="1" x14ac:dyDescent="0.3">
      <c r="A3" s="5" t="s">
        <v>16</v>
      </c>
      <c r="B3" s="6" t="s">
        <v>17</v>
      </c>
      <c r="C3" s="7"/>
      <c r="D3" s="8"/>
      <c r="E3" s="9"/>
      <c r="F3" s="10"/>
      <c r="G3" s="11"/>
      <c r="H3" s="12"/>
      <c r="I3" s="13"/>
    </row>
    <row r="4" spans="1:9" ht="37.5" customHeight="1" thickBot="1" x14ac:dyDescent="0.3">
      <c r="A4" s="14" t="s">
        <v>1</v>
      </c>
      <c r="B4" s="15" t="s">
        <v>0</v>
      </c>
      <c r="C4" s="16" t="s">
        <v>2</v>
      </c>
      <c r="D4" s="15" t="s">
        <v>3</v>
      </c>
      <c r="E4" s="17" t="s">
        <v>4</v>
      </c>
      <c r="F4" s="18" t="s">
        <v>5</v>
      </c>
      <c r="G4" s="19" t="s">
        <v>6</v>
      </c>
      <c r="H4" s="20" t="s">
        <v>7</v>
      </c>
      <c r="I4" s="21" t="s">
        <v>14</v>
      </c>
    </row>
    <row r="5" spans="1:9" ht="15.75" thickBot="1" x14ac:dyDescent="0.3">
      <c r="A5" s="22" t="s">
        <v>18</v>
      </c>
      <c r="B5" s="23" t="s">
        <v>19</v>
      </c>
      <c r="C5" s="24"/>
      <c r="D5" s="24"/>
      <c r="E5" s="25"/>
      <c r="F5" s="26">
        <f>SUM(F6:F26)</f>
        <v>20346755</v>
      </c>
      <c r="G5" s="27">
        <f>SUM(G7:G26)</f>
        <v>0</v>
      </c>
      <c r="H5" s="28">
        <v>0</v>
      </c>
      <c r="I5" s="29"/>
    </row>
    <row r="6" spans="1:9" x14ac:dyDescent="0.25">
      <c r="A6" s="30"/>
      <c r="B6" s="37" t="s">
        <v>41</v>
      </c>
      <c r="C6" s="31"/>
      <c r="D6" s="32"/>
      <c r="E6" s="32"/>
      <c r="F6" s="33">
        <f>položkově!F6+položkově!F7+položkově!F8+položkově!F9+položkově!F10+položkově!F11</f>
        <v>1923900</v>
      </c>
      <c r="G6" s="34"/>
      <c r="H6" s="35"/>
      <c r="I6" s="36"/>
    </row>
    <row r="7" spans="1:9" x14ac:dyDescent="0.25">
      <c r="A7" s="30"/>
      <c r="B7" s="37" t="s">
        <v>28</v>
      </c>
      <c r="C7" s="31"/>
      <c r="D7" s="32"/>
      <c r="E7" s="38"/>
      <c r="F7" s="33">
        <f>300000*1.21</f>
        <v>363000</v>
      </c>
      <c r="G7" s="39"/>
      <c r="H7" s="40"/>
      <c r="I7" s="40"/>
    </row>
    <row r="8" spans="1:9" x14ac:dyDescent="0.25">
      <c r="A8" s="30"/>
      <c r="B8" s="37" t="s">
        <v>43</v>
      </c>
      <c r="C8" s="31"/>
      <c r="D8" s="32"/>
      <c r="E8" s="38"/>
      <c r="F8" s="33">
        <f>SUM(položkově!F14:'položkově'!F30)+položkově!F34+položkově!F35+položkově!F36</f>
        <v>11876755</v>
      </c>
      <c r="G8" s="39"/>
      <c r="H8" s="40"/>
      <c r="I8" s="40"/>
    </row>
    <row r="9" spans="1:9" x14ac:dyDescent="0.25">
      <c r="A9" s="30"/>
      <c r="B9" s="37" t="s">
        <v>44</v>
      </c>
      <c r="C9" s="31"/>
      <c r="D9" s="32"/>
      <c r="E9" s="38"/>
      <c r="F9" s="33">
        <f>položkově!F37</f>
        <v>2008600</v>
      </c>
      <c r="G9" s="39"/>
      <c r="H9" s="40"/>
      <c r="I9" s="40"/>
    </row>
    <row r="10" spans="1:9" x14ac:dyDescent="0.25">
      <c r="A10" s="30"/>
      <c r="B10" s="37" t="s">
        <v>42</v>
      </c>
      <c r="C10" s="31"/>
      <c r="D10" s="32"/>
      <c r="E10" s="38"/>
      <c r="F10" s="33">
        <f>položkově!F31+položkově!F32</f>
        <v>689700</v>
      </c>
      <c r="G10" s="39"/>
      <c r="H10" s="40"/>
      <c r="I10" s="40"/>
    </row>
    <row r="11" spans="1:9" x14ac:dyDescent="0.25">
      <c r="A11" s="30"/>
      <c r="B11" s="37" t="s">
        <v>58</v>
      </c>
      <c r="C11" s="37"/>
      <c r="D11" s="41"/>
      <c r="E11" s="38"/>
      <c r="F11" s="33">
        <f>položkově!F33</f>
        <v>181500</v>
      </c>
      <c r="G11" s="39"/>
      <c r="H11" s="40"/>
      <c r="I11" s="40"/>
    </row>
    <row r="12" spans="1:9" x14ac:dyDescent="0.25">
      <c r="A12" s="30"/>
      <c r="B12" s="37" t="s">
        <v>57</v>
      </c>
      <c r="C12" s="37"/>
      <c r="D12" s="41"/>
      <c r="E12" s="38"/>
      <c r="F12" s="33">
        <f>položkově!F38</f>
        <v>605000</v>
      </c>
      <c r="G12" s="39"/>
      <c r="H12" s="40"/>
      <c r="I12" s="40"/>
    </row>
    <row r="13" spans="1:9" x14ac:dyDescent="0.25">
      <c r="A13" s="30"/>
      <c r="B13" s="37" t="s">
        <v>59</v>
      </c>
      <c r="C13" s="37"/>
      <c r="D13" s="41"/>
      <c r="E13" s="38"/>
      <c r="F13" s="33">
        <f>položkově!F39</f>
        <v>1730300</v>
      </c>
      <c r="G13" s="39"/>
      <c r="H13" s="40"/>
      <c r="I13" s="40"/>
    </row>
    <row r="14" spans="1:9" x14ac:dyDescent="0.25">
      <c r="A14" s="30"/>
      <c r="B14" s="37" t="s">
        <v>60</v>
      </c>
      <c r="C14" s="37"/>
      <c r="D14" s="41"/>
      <c r="E14" s="38"/>
      <c r="F14" s="33">
        <f>položkově!F40</f>
        <v>968000</v>
      </c>
      <c r="G14" s="39"/>
      <c r="H14" s="40"/>
      <c r="I14" s="40"/>
    </row>
    <row r="15" spans="1:9" x14ac:dyDescent="0.25">
      <c r="A15" s="30"/>
      <c r="B15" s="37"/>
      <c r="C15" s="37"/>
      <c r="D15" s="41"/>
      <c r="E15" s="38"/>
      <c r="F15" s="33">
        <f t="shared" ref="F15" si="0">G15</f>
        <v>0</v>
      </c>
      <c r="G15" s="39"/>
      <c r="H15" s="40"/>
      <c r="I15" s="40"/>
    </row>
    <row r="16" spans="1:9" x14ac:dyDescent="0.25">
      <c r="F16" s="42"/>
      <c r="G16" s="42"/>
    </row>
    <row r="18" spans="2:7" x14ac:dyDescent="0.25">
      <c r="B18" s="1" t="s">
        <v>9</v>
      </c>
      <c r="C18" s="1" t="s">
        <v>21</v>
      </c>
    </row>
    <row r="21" spans="2:7" x14ac:dyDescent="0.25">
      <c r="B21" s="1" t="s">
        <v>11</v>
      </c>
      <c r="C21" s="1" t="s">
        <v>10</v>
      </c>
    </row>
    <row r="24" spans="2:7" x14ac:dyDescent="0.25">
      <c r="B24" s="1" t="s">
        <v>12</v>
      </c>
      <c r="C24" s="43">
        <v>43004</v>
      </c>
      <c r="G24" s="1" t="s">
        <v>13</v>
      </c>
    </row>
  </sheetData>
  <pageMargins left="0.31496062992125984" right="0.31496062992125984" top="0.59055118110236227" bottom="0.59055118110236227" header="0.11811023622047245" footer="0.11811023622047245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pane ySplit="5" topLeftCell="A24" activePane="bottomLeft" state="frozen"/>
      <selection pane="bottomLeft" activeCell="A40" sqref="A40:XFD40"/>
    </sheetView>
  </sheetViews>
  <sheetFormatPr defaultRowHeight="15" x14ac:dyDescent="0.25"/>
  <cols>
    <col min="1" max="1" width="8.28515625" style="1" customWidth="1"/>
    <col min="2" max="2" width="40.28515625" style="1" customWidth="1"/>
    <col min="3" max="3" width="10.140625" style="1" bestFit="1" customWidth="1"/>
    <col min="4" max="4" width="9.140625" style="1"/>
    <col min="5" max="5" width="6.7109375" style="4" customWidth="1"/>
    <col min="6" max="6" width="15" style="1" customWidth="1"/>
    <col min="7" max="7" width="13.140625" style="1" customWidth="1"/>
    <col min="8" max="8" width="10.42578125" style="1" customWidth="1"/>
    <col min="9" max="9" width="28.140625" style="1" customWidth="1"/>
    <col min="10" max="16384" width="9.140625" style="1"/>
  </cols>
  <sheetData>
    <row r="1" spans="1:9" ht="18.75" x14ac:dyDescent="0.3">
      <c r="B1" s="2" t="s">
        <v>8</v>
      </c>
      <c r="C1" s="3" t="s">
        <v>15</v>
      </c>
      <c r="D1" s="2" t="s">
        <v>20</v>
      </c>
      <c r="E1" s="3"/>
      <c r="F1" s="2"/>
      <c r="G1" s="3">
        <v>2018</v>
      </c>
    </row>
    <row r="2" spans="1:9" ht="15.75" thickBot="1" x14ac:dyDescent="0.3"/>
    <row r="3" spans="1:9" ht="15.75" thickBot="1" x14ac:dyDescent="0.3">
      <c r="A3" s="5" t="s">
        <v>16</v>
      </c>
      <c r="B3" s="6" t="s">
        <v>17</v>
      </c>
      <c r="C3" s="7"/>
      <c r="D3" s="8"/>
      <c r="E3" s="9"/>
      <c r="F3" s="10"/>
      <c r="G3" s="11"/>
      <c r="H3" s="12"/>
      <c r="I3" s="13"/>
    </row>
    <row r="4" spans="1:9" ht="37.5" customHeight="1" thickBot="1" x14ac:dyDescent="0.3">
      <c r="A4" s="14" t="s">
        <v>1</v>
      </c>
      <c r="B4" s="15" t="s">
        <v>0</v>
      </c>
      <c r="C4" s="16" t="s">
        <v>2</v>
      </c>
      <c r="D4" s="15" t="s">
        <v>3</v>
      </c>
      <c r="E4" s="17" t="s">
        <v>4</v>
      </c>
      <c r="F4" s="18" t="s">
        <v>5</v>
      </c>
      <c r="G4" s="19" t="s">
        <v>6</v>
      </c>
      <c r="H4" s="20" t="s">
        <v>7</v>
      </c>
      <c r="I4" s="21" t="s">
        <v>14</v>
      </c>
    </row>
    <row r="5" spans="1:9" ht="15.75" thickBot="1" x14ac:dyDescent="0.3">
      <c r="A5" s="22" t="s">
        <v>18</v>
      </c>
      <c r="B5" s="23" t="s">
        <v>19</v>
      </c>
      <c r="C5" s="24"/>
      <c r="D5" s="24"/>
      <c r="E5" s="25"/>
      <c r="F5" s="26">
        <f>SUM(F6:F52)</f>
        <v>20346755</v>
      </c>
      <c r="G5" s="27">
        <f>SUM(G6:G52)</f>
        <v>1</v>
      </c>
      <c r="H5" s="28">
        <v>0</v>
      </c>
      <c r="I5" s="29"/>
    </row>
    <row r="6" spans="1:9" x14ac:dyDescent="0.25">
      <c r="A6" s="30"/>
      <c r="B6" s="37" t="s">
        <v>22</v>
      </c>
      <c r="C6" s="31"/>
      <c r="D6" s="32"/>
      <c r="E6" s="32"/>
      <c r="F6" s="33">
        <f>(400000+40000)*1.21</f>
        <v>532400</v>
      </c>
      <c r="G6" s="34">
        <v>1</v>
      </c>
      <c r="H6" s="35">
        <v>0</v>
      </c>
      <c r="I6" s="36"/>
    </row>
    <row r="7" spans="1:9" x14ac:dyDescent="0.25">
      <c r="A7" s="30"/>
      <c r="B7" s="37" t="s">
        <v>23</v>
      </c>
      <c r="C7" s="31"/>
      <c r="D7" s="32"/>
      <c r="E7" s="32"/>
      <c r="F7" s="33">
        <f>(220000+40000)*1.21</f>
        <v>314600</v>
      </c>
      <c r="G7" s="34">
        <v>0</v>
      </c>
      <c r="H7" s="35">
        <v>0</v>
      </c>
      <c r="I7" s="36"/>
    </row>
    <row r="8" spans="1:9" x14ac:dyDescent="0.25">
      <c r="A8" s="30"/>
      <c r="B8" s="37" t="s">
        <v>24</v>
      </c>
      <c r="C8" s="31"/>
      <c r="D8" s="32"/>
      <c r="E8" s="38"/>
      <c r="F8" s="33">
        <f>(150000+30000)*1.21</f>
        <v>217800</v>
      </c>
      <c r="G8" s="39"/>
      <c r="H8" s="40"/>
      <c r="I8" s="40"/>
    </row>
    <row r="9" spans="1:9" x14ac:dyDescent="0.25">
      <c r="A9" s="30"/>
      <c r="B9" s="37" t="s">
        <v>25</v>
      </c>
      <c r="C9" s="31"/>
      <c r="D9" s="32"/>
      <c r="E9" s="38"/>
      <c r="F9" s="33">
        <f>(290000+30000)*1.21</f>
        <v>387200</v>
      </c>
      <c r="G9" s="39"/>
      <c r="H9" s="40"/>
      <c r="I9" s="40"/>
    </row>
    <row r="10" spans="1:9" x14ac:dyDescent="0.25">
      <c r="A10" s="30"/>
      <c r="B10" s="37" t="s">
        <v>26</v>
      </c>
      <c r="C10" s="31"/>
      <c r="D10" s="32"/>
      <c r="E10" s="38"/>
      <c r="F10" s="33">
        <f>(280000+30000)*1.21</f>
        <v>375100</v>
      </c>
      <c r="G10" s="39"/>
      <c r="H10" s="40"/>
      <c r="I10" s="40"/>
    </row>
    <row r="11" spans="1:9" x14ac:dyDescent="0.25">
      <c r="A11" s="30"/>
      <c r="B11" s="37" t="s">
        <v>27</v>
      </c>
      <c r="C11" s="31"/>
      <c r="D11" s="32"/>
      <c r="E11" s="38"/>
      <c r="F11" s="33">
        <f>(60000+20000)*1.21</f>
        <v>96800</v>
      </c>
      <c r="G11" s="39"/>
      <c r="H11" s="40"/>
      <c r="I11" s="40"/>
    </row>
    <row r="12" spans="1:9" x14ac:dyDescent="0.25">
      <c r="A12" s="30"/>
      <c r="B12" s="37" t="s">
        <v>28</v>
      </c>
      <c r="C12" s="31"/>
      <c r="D12" s="32"/>
      <c r="E12" s="38"/>
      <c r="F12" s="33">
        <f>300000*1.21</f>
        <v>363000</v>
      </c>
      <c r="G12" s="39"/>
      <c r="H12" s="40"/>
      <c r="I12" s="40"/>
    </row>
    <row r="13" spans="1:9" x14ac:dyDescent="0.25">
      <c r="A13" s="30"/>
      <c r="B13" s="37"/>
      <c r="C13" s="31"/>
      <c r="D13" s="32"/>
      <c r="E13" s="38"/>
      <c r="F13" s="33"/>
      <c r="G13" s="39"/>
      <c r="H13" s="40"/>
      <c r="I13" s="40"/>
    </row>
    <row r="14" spans="1:9" x14ac:dyDescent="0.25">
      <c r="A14" s="30"/>
      <c r="B14" s="37" t="s">
        <v>35</v>
      </c>
      <c r="C14" s="31"/>
      <c r="D14" s="41"/>
      <c r="E14" s="38"/>
      <c r="F14" s="33">
        <f>(500000+50000)*1.21</f>
        <v>665500</v>
      </c>
      <c r="G14" s="39"/>
      <c r="H14" s="40"/>
      <c r="I14" s="40"/>
    </row>
    <row r="15" spans="1:9" x14ac:dyDescent="0.25">
      <c r="A15"/>
      <c r="B15" s="37" t="s">
        <v>29</v>
      </c>
      <c r="C15" s="31"/>
      <c r="D15" s="41"/>
      <c r="E15" s="38"/>
      <c r="F15" s="33">
        <f>(72000+15000)*1.21</f>
        <v>105270</v>
      </c>
      <c r="G15" s="39"/>
      <c r="H15" s="40"/>
      <c r="I15" s="40"/>
    </row>
    <row r="16" spans="1:9" x14ac:dyDescent="0.25">
      <c r="A16" s="30"/>
      <c r="B16" s="37" t="s">
        <v>36</v>
      </c>
      <c r="C16" s="31"/>
      <c r="D16" s="41"/>
      <c r="E16" s="38"/>
      <c r="F16" s="33">
        <f>(80000+3000)*1.21</f>
        <v>100430</v>
      </c>
      <c r="G16" s="39"/>
      <c r="H16" s="40"/>
      <c r="I16" s="40"/>
    </row>
    <row r="17" spans="1:9" x14ac:dyDescent="0.25">
      <c r="A17" s="30"/>
      <c r="B17" s="37" t="s">
        <v>33</v>
      </c>
      <c r="C17" s="31"/>
      <c r="D17" s="41"/>
      <c r="E17" s="38"/>
      <c r="F17" s="33">
        <f>(160000+15000)*1.21</f>
        <v>211750</v>
      </c>
      <c r="G17" s="39"/>
      <c r="H17" s="40"/>
      <c r="I17" s="40"/>
    </row>
    <row r="18" spans="1:9" x14ac:dyDescent="0.25">
      <c r="A18" s="30"/>
      <c r="B18" s="37" t="s">
        <v>34</v>
      </c>
      <c r="C18" s="31"/>
      <c r="D18" s="41"/>
      <c r="E18" s="38"/>
      <c r="F18" s="33">
        <f>(180000+15000)*1.21</f>
        <v>235950</v>
      </c>
      <c r="G18" s="39"/>
      <c r="H18" s="40"/>
      <c r="I18" s="40"/>
    </row>
    <row r="19" spans="1:9" x14ac:dyDescent="0.25">
      <c r="A19" s="30"/>
      <c r="B19" s="37" t="s">
        <v>46</v>
      </c>
      <c r="C19" s="31"/>
      <c r="D19" s="41"/>
      <c r="E19" s="38"/>
      <c r="F19" s="33">
        <f>(120000+50000)*1.21</f>
        <v>205700</v>
      </c>
      <c r="G19" s="39"/>
      <c r="H19" s="40"/>
      <c r="I19" s="40"/>
    </row>
    <row r="20" spans="1:9" x14ac:dyDescent="0.25">
      <c r="A20" s="30"/>
      <c r="B20" s="37" t="s">
        <v>45</v>
      </c>
      <c r="C20" s="31"/>
      <c r="D20" s="41"/>
      <c r="E20" s="38"/>
      <c r="F20" s="33">
        <f>F14</f>
        <v>665500</v>
      </c>
      <c r="G20" s="39"/>
      <c r="H20" s="40"/>
      <c r="I20" s="40"/>
    </row>
    <row r="21" spans="1:9" x14ac:dyDescent="0.25">
      <c r="A21" s="30"/>
      <c r="B21" s="37" t="s">
        <v>47</v>
      </c>
      <c r="C21" s="31"/>
      <c r="D21" s="41"/>
      <c r="E21" s="38"/>
      <c r="F21" s="33">
        <f>3*F14</f>
        <v>1996500</v>
      </c>
      <c r="G21" s="39"/>
      <c r="H21" s="40"/>
      <c r="I21" s="40"/>
    </row>
    <row r="22" spans="1:9" x14ac:dyDescent="0.25">
      <c r="A22" s="30"/>
      <c r="B22" s="37" t="s">
        <v>48</v>
      </c>
      <c r="C22" s="31"/>
      <c r="D22" s="41"/>
      <c r="E22" s="38"/>
      <c r="F22" s="33">
        <f>(F20+150000)*1.21</f>
        <v>986755</v>
      </c>
      <c r="G22" s="39"/>
      <c r="H22" s="40"/>
      <c r="I22" s="40"/>
    </row>
    <row r="23" spans="1:9" x14ac:dyDescent="0.25">
      <c r="A23" s="30"/>
      <c r="B23" s="37" t="s">
        <v>49</v>
      </c>
      <c r="C23" s="31"/>
      <c r="D23" s="41"/>
      <c r="E23" s="38"/>
      <c r="F23" s="33">
        <f>F14</f>
        <v>665500</v>
      </c>
      <c r="G23" s="39"/>
      <c r="H23" s="40"/>
      <c r="I23" s="40"/>
    </row>
    <row r="24" spans="1:9" x14ac:dyDescent="0.25">
      <c r="A24" s="30"/>
      <c r="B24" s="37" t="s">
        <v>50</v>
      </c>
      <c r="C24" s="31"/>
      <c r="D24" s="41"/>
      <c r="E24" s="38"/>
      <c r="F24" s="33">
        <f>(23*20000)*1.21</f>
        <v>556600</v>
      </c>
      <c r="G24" s="39"/>
      <c r="H24" s="40"/>
      <c r="I24" s="40"/>
    </row>
    <row r="25" spans="1:9" x14ac:dyDescent="0.25">
      <c r="A25" s="30"/>
      <c r="B25" s="37" t="s">
        <v>51</v>
      </c>
      <c r="C25" s="31"/>
      <c r="D25" s="41"/>
      <c r="E25" s="38"/>
      <c r="F25" s="33">
        <f>F18</f>
        <v>235950</v>
      </c>
      <c r="G25" s="39"/>
      <c r="H25" s="40"/>
      <c r="I25" s="40"/>
    </row>
    <row r="26" spans="1:9" x14ac:dyDescent="0.25">
      <c r="A26" s="30"/>
      <c r="B26" s="37" t="s">
        <v>52</v>
      </c>
      <c r="C26" s="31"/>
      <c r="D26" s="41"/>
      <c r="E26" s="38"/>
      <c r="F26" s="33">
        <f>(15*20000)*1.21</f>
        <v>363000</v>
      </c>
      <c r="G26" s="39"/>
      <c r="H26" s="40"/>
      <c r="I26" s="40"/>
    </row>
    <row r="27" spans="1:9" x14ac:dyDescent="0.25">
      <c r="A27" s="30"/>
      <c r="B27" s="37" t="s">
        <v>53</v>
      </c>
      <c r="C27" s="31"/>
      <c r="D27" s="41"/>
      <c r="E27" s="38"/>
      <c r="F27" s="33">
        <f>(23*20000)*1.21</f>
        <v>556600</v>
      </c>
      <c r="G27" s="39"/>
      <c r="H27" s="40"/>
      <c r="I27" s="40"/>
    </row>
    <row r="28" spans="1:9" x14ac:dyDescent="0.25">
      <c r="A28" s="30"/>
      <c r="B28" s="37" t="s">
        <v>54</v>
      </c>
      <c r="C28" s="31"/>
      <c r="D28" s="41"/>
      <c r="E28" s="38"/>
      <c r="F28" s="33">
        <f>(23*20000)*1.21</f>
        <v>556600</v>
      </c>
      <c r="G28" s="39"/>
      <c r="H28" s="40"/>
      <c r="I28" s="40"/>
    </row>
    <row r="29" spans="1:9" x14ac:dyDescent="0.25">
      <c r="A29" s="30"/>
      <c r="B29" s="37" t="s">
        <v>55</v>
      </c>
      <c r="C29" s="31"/>
      <c r="D29" s="41"/>
      <c r="E29" s="38"/>
      <c r="F29" s="33">
        <f>F14</f>
        <v>665500</v>
      </c>
      <c r="G29" s="39"/>
      <c r="H29" s="40"/>
      <c r="I29" s="40"/>
    </row>
    <row r="30" spans="1:9" ht="24" x14ac:dyDescent="0.25">
      <c r="A30" s="30"/>
      <c r="B30" s="44" t="s">
        <v>40</v>
      </c>
      <c r="C30" s="31"/>
      <c r="D30" s="41"/>
      <c r="E30" s="38"/>
      <c r="F30" s="33">
        <f>(15*150000+50000)*1.21</f>
        <v>2783000</v>
      </c>
      <c r="G30" s="39"/>
      <c r="H30" s="40"/>
      <c r="I30" s="40"/>
    </row>
    <row r="31" spans="1:9" x14ac:dyDescent="0.25">
      <c r="A31" s="30"/>
      <c r="B31" s="37" t="s">
        <v>30</v>
      </c>
      <c r="C31" s="31"/>
      <c r="D31" s="41"/>
      <c r="E31" s="38"/>
      <c r="F31" s="33">
        <f>(60000+80000+300000+30000)*1.21</f>
        <v>568700</v>
      </c>
      <c r="G31" s="39"/>
      <c r="H31" s="40"/>
      <c r="I31" s="40"/>
    </row>
    <row r="32" spans="1:9" x14ac:dyDescent="0.25">
      <c r="A32" s="30"/>
      <c r="B32" s="37" t="s">
        <v>31</v>
      </c>
      <c r="C32" s="37"/>
      <c r="D32" s="41"/>
      <c r="E32" s="38"/>
      <c r="F32" s="33">
        <f>(80000+20000)*1.21</f>
        <v>121000</v>
      </c>
      <c r="G32" s="39"/>
      <c r="H32" s="40"/>
      <c r="I32" s="40"/>
    </row>
    <row r="33" spans="1:9" x14ac:dyDescent="0.25">
      <c r="A33" s="30"/>
      <c r="B33" s="37" t="s">
        <v>32</v>
      </c>
      <c r="C33" s="37"/>
      <c r="D33" s="41"/>
      <c r="E33" s="38"/>
      <c r="F33" s="33">
        <f>150000*1.21</f>
        <v>181500</v>
      </c>
      <c r="G33" s="39"/>
      <c r="H33" s="40"/>
      <c r="I33" s="40"/>
    </row>
    <row r="34" spans="1:9" ht="24" x14ac:dyDescent="0.25">
      <c r="A34" s="30"/>
      <c r="B34" s="44" t="s">
        <v>37</v>
      </c>
      <c r="C34" s="37"/>
      <c r="D34" s="41"/>
      <c r="E34" s="38"/>
      <c r="F34" s="33">
        <f>85000*1.21</f>
        <v>102850</v>
      </c>
      <c r="G34" s="39"/>
      <c r="H34" s="40"/>
      <c r="I34" s="40"/>
    </row>
    <row r="35" spans="1:9" x14ac:dyDescent="0.25">
      <c r="A35" s="30"/>
      <c r="B35" s="44" t="s">
        <v>38</v>
      </c>
      <c r="C35" s="37"/>
      <c r="D35" s="41"/>
      <c r="E35" s="38"/>
      <c r="F35" s="33">
        <f>100000*1.21</f>
        <v>121000</v>
      </c>
      <c r="G35" s="39"/>
      <c r="H35" s="40"/>
      <c r="I35" s="40"/>
    </row>
    <row r="36" spans="1:9" x14ac:dyDescent="0.25">
      <c r="A36" s="30"/>
      <c r="B36" s="37" t="s">
        <v>39</v>
      </c>
      <c r="C36" s="37"/>
      <c r="D36" s="41"/>
      <c r="E36" s="38"/>
      <c r="F36" s="33">
        <f>80000*1.21</f>
        <v>96800</v>
      </c>
      <c r="G36" s="39"/>
      <c r="H36" s="40"/>
      <c r="I36" s="40"/>
    </row>
    <row r="37" spans="1:9" x14ac:dyDescent="0.25">
      <c r="A37" s="30"/>
      <c r="B37" s="37" t="s">
        <v>56</v>
      </c>
      <c r="C37" s="37"/>
      <c r="D37" s="41"/>
      <c r="E37" s="38"/>
      <c r="F37" s="33">
        <f>(800000+800000+60000)*1.21</f>
        <v>2008600</v>
      </c>
      <c r="G37" s="39"/>
      <c r="H37" s="40"/>
      <c r="I37" s="40"/>
    </row>
    <row r="38" spans="1:9" x14ac:dyDescent="0.25">
      <c r="A38" s="30"/>
      <c r="B38" s="37" t="s">
        <v>57</v>
      </c>
      <c r="C38" s="37"/>
      <c r="D38" s="41"/>
      <c r="E38" s="38"/>
      <c r="F38" s="33">
        <f>500000*1.21</f>
        <v>605000</v>
      </c>
      <c r="G38" s="39"/>
      <c r="H38" s="40"/>
      <c r="I38" s="40"/>
    </row>
    <row r="39" spans="1:9" x14ac:dyDescent="0.25">
      <c r="A39" s="30"/>
      <c r="B39" s="37" t="s">
        <v>59</v>
      </c>
      <c r="C39" s="37"/>
      <c r="D39" s="41"/>
      <c r="E39" s="38"/>
      <c r="F39" s="33">
        <f>(20*70000+30000)*1.21</f>
        <v>1730300</v>
      </c>
      <c r="G39" s="39"/>
      <c r="H39" s="40"/>
      <c r="I39" s="40"/>
    </row>
    <row r="40" spans="1:9" x14ac:dyDescent="0.25">
      <c r="A40" s="30"/>
      <c r="B40" s="37" t="s">
        <v>60</v>
      </c>
      <c r="C40" s="37"/>
      <c r="D40" s="41"/>
      <c r="E40" s="38"/>
      <c r="F40" s="33">
        <f>800000*1.21</f>
        <v>968000</v>
      </c>
      <c r="G40" s="39"/>
      <c r="H40" s="40"/>
      <c r="I40" s="40"/>
    </row>
    <row r="41" spans="1:9" x14ac:dyDescent="0.25">
      <c r="A41" s="30"/>
      <c r="B41" s="37"/>
      <c r="C41" s="37"/>
      <c r="D41" s="41"/>
      <c r="E41" s="38"/>
      <c r="F41" s="33"/>
      <c r="G41" s="39"/>
      <c r="H41" s="40"/>
      <c r="I41" s="40"/>
    </row>
    <row r="42" spans="1:9" x14ac:dyDescent="0.25">
      <c r="F42" s="42"/>
      <c r="G42" s="42"/>
    </row>
    <row r="44" spans="1:9" x14ac:dyDescent="0.25">
      <c r="B44" s="1" t="s">
        <v>9</v>
      </c>
      <c r="C44" s="1" t="s">
        <v>21</v>
      </c>
    </row>
    <row r="47" spans="1:9" x14ac:dyDescent="0.25">
      <c r="B47" s="1" t="s">
        <v>11</v>
      </c>
      <c r="C47" s="1" t="s">
        <v>10</v>
      </c>
    </row>
    <row r="50" spans="2:7" x14ac:dyDescent="0.25">
      <c r="B50" s="1" t="s">
        <v>12</v>
      </c>
      <c r="C50" s="43">
        <v>43004</v>
      </c>
      <c r="G50" s="1" t="s">
        <v>13</v>
      </c>
    </row>
  </sheetData>
  <pageMargins left="0.31496062992125984" right="0.31496062992125984" top="0.59055118110236227" bottom="0.59055118110236227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INVPL</vt:lpstr>
      <vt:lpstr>položkově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2017-09-27T09:55:19Z</cp:lastPrinted>
  <dcterms:created xsi:type="dcterms:W3CDTF">2016-10-05T06:27:20Z</dcterms:created>
  <dcterms:modified xsi:type="dcterms:W3CDTF">2017-10-09T07:33:24Z</dcterms:modified>
</cp:coreProperties>
</file>