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480" yWindow="15" windowWidth="15120" windowHeight="9285" activeTab="2"/>
  </bookViews>
  <sheets>
    <sheet name="2015" sheetId="1" r:id="rId1"/>
    <sheet name="2016" sheetId="2" r:id="rId2"/>
    <sheet name="2017" sheetId="3" r:id="rId3"/>
  </sheets>
  <externalReferences>
    <externalReference r:id="rId4"/>
  </externalReferences>
  <definedNames>
    <definedName name="_xlnm.Print_Area" localSheetId="0">'2015'!$B$1:$I$53</definedName>
    <definedName name="_xlnm.Print_Area" localSheetId="2">'2017'!$B$1:$I$53</definedName>
  </definedNames>
  <calcPr calcId="125725"/>
  <webPublishing codePage="1252"/>
</workbook>
</file>

<file path=xl/calcChain.xml><?xml version="1.0" encoding="utf-8"?>
<calcChain xmlns="http://schemas.openxmlformats.org/spreadsheetml/2006/main">
  <c r="E52" i="3"/>
  <c r="E34" l="1"/>
  <c r="E33"/>
  <c r="E32"/>
  <c r="E31"/>
  <c r="E30"/>
  <c r="D43"/>
  <c r="C45"/>
  <c r="C43"/>
  <c r="C42"/>
  <c r="C41"/>
  <c r="C40"/>
  <c r="E14"/>
  <c r="E13"/>
  <c r="E12"/>
  <c r="E11"/>
  <c r="E10"/>
  <c r="E9"/>
  <c r="E8"/>
  <c r="E7"/>
  <c r="D14"/>
  <c r="D13"/>
  <c r="D12"/>
  <c r="D11"/>
  <c r="D10"/>
  <c r="D9"/>
  <c r="D8"/>
  <c r="D7"/>
  <c r="C14"/>
  <c r="I8"/>
  <c r="D45"/>
  <c r="D42"/>
  <c r="D41"/>
  <c r="D40"/>
  <c r="F34"/>
  <c r="G34" s="1"/>
  <c r="D34"/>
  <c r="F33"/>
  <c r="G33" s="1"/>
  <c r="D33"/>
  <c r="F32"/>
  <c r="G32" s="1"/>
  <c r="D32"/>
  <c r="F31"/>
  <c r="G31" s="1"/>
  <c r="D31"/>
  <c r="F30"/>
  <c r="D30"/>
  <c r="H20"/>
  <c r="I20" s="1"/>
  <c r="H8"/>
  <c r="E52" i="2"/>
  <c r="D45"/>
  <c r="C43"/>
  <c r="D42"/>
  <c r="D41"/>
  <c r="D40"/>
  <c r="E34"/>
  <c r="F34" s="1"/>
  <c r="G34" s="1"/>
  <c r="D34"/>
  <c r="E33"/>
  <c r="F33" s="1"/>
  <c r="G33" s="1"/>
  <c r="D33"/>
  <c r="E32"/>
  <c r="F32" s="1"/>
  <c r="G32" s="1"/>
  <c r="D32"/>
  <c r="E31"/>
  <c r="F31" s="1"/>
  <c r="G31" s="1"/>
  <c r="D31"/>
  <c r="E30"/>
  <c r="F30" s="1"/>
  <c r="D30"/>
  <c r="H20"/>
  <c r="I20" s="1"/>
  <c r="H8"/>
  <c r="I8" s="1"/>
  <c r="E45" s="1"/>
  <c r="E51" s="1"/>
  <c r="E24" i="3" l="1"/>
  <c r="E21"/>
  <c r="E26"/>
  <c r="E22"/>
  <c r="E20"/>
  <c r="E23"/>
  <c r="E25"/>
  <c r="F35"/>
  <c r="G30"/>
  <c r="G35" s="1"/>
  <c r="E44" s="1"/>
  <c r="D44" s="1"/>
  <c r="C44" s="1"/>
  <c r="C46" s="1"/>
  <c r="E40"/>
  <c r="E42"/>
  <c r="E45"/>
  <c r="E51" s="1"/>
  <c r="E41"/>
  <c r="E43"/>
  <c r="E26" i="2"/>
  <c r="E24"/>
  <c r="E22"/>
  <c r="E20"/>
  <c r="E23"/>
  <c r="E25"/>
  <c r="E21"/>
  <c r="F35"/>
  <c r="G30"/>
  <c r="G35" s="1"/>
  <c r="E44" s="1"/>
  <c r="D44" s="1"/>
  <c r="C44" s="1"/>
  <c r="C46" s="1"/>
  <c r="E12"/>
  <c r="E40"/>
  <c r="E41"/>
  <c r="E42"/>
  <c r="E43"/>
  <c r="E8"/>
  <c r="E10"/>
  <c r="E7"/>
  <c r="E9"/>
  <c r="E11"/>
  <c r="E13"/>
  <c r="E46" i="3" l="1"/>
  <c r="E49" s="1"/>
  <c r="D46"/>
  <c r="E27"/>
  <c r="D46" i="2"/>
  <c r="E14"/>
  <c r="E27"/>
  <c r="E46"/>
  <c r="E49" s="1"/>
  <c r="E50" i="3" l="1"/>
  <c r="E53"/>
  <c r="E50" i="2"/>
  <c r="E53"/>
  <c r="E52" i="1"/>
  <c r="C43"/>
  <c r="D45"/>
  <c r="D42"/>
  <c r="D41"/>
  <c r="D40"/>
  <c r="E34"/>
  <c r="E33"/>
  <c r="F33" s="1"/>
  <c r="G33" s="1"/>
  <c r="E32"/>
  <c r="E31"/>
  <c r="F31" s="1"/>
  <c r="G31" s="1"/>
  <c r="E30"/>
  <c r="D34"/>
  <c r="D33"/>
  <c r="D32"/>
  <c r="D31"/>
  <c r="D30"/>
  <c r="H21"/>
  <c r="I21" s="1"/>
  <c r="H8"/>
  <c r="I8" s="1"/>
  <c r="E43" s="1"/>
  <c r="E41" l="1"/>
  <c r="E45"/>
  <c r="E51" s="1"/>
  <c r="E40"/>
  <c r="E42"/>
  <c r="F34"/>
  <c r="G34" s="1"/>
  <c r="F32"/>
  <c r="G32" s="1"/>
  <c r="F30"/>
  <c r="E22"/>
  <c r="E24"/>
  <c r="E26"/>
  <c r="E21"/>
  <c r="E23"/>
  <c r="E25"/>
  <c r="E20"/>
  <c r="E13"/>
  <c r="E9"/>
  <c r="E11"/>
  <c r="E7"/>
  <c r="E8"/>
  <c r="E10"/>
  <c r="E12"/>
  <c r="E27" l="1"/>
  <c r="G30"/>
  <c r="G35" s="1"/>
  <c r="E44" s="1"/>
  <c r="D44" s="1"/>
  <c r="F35"/>
  <c r="E14"/>
  <c r="C44" l="1"/>
  <c r="C46" s="1"/>
  <c r="D46"/>
  <c r="E46"/>
  <c r="E49" s="1"/>
  <c r="E50" l="1"/>
  <c r="E53"/>
</calcChain>
</file>

<file path=xl/sharedStrings.xml><?xml version="1.0" encoding="utf-8"?>
<sst xmlns="http://schemas.openxmlformats.org/spreadsheetml/2006/main" count="196" uniqueCount="55">
  <si>
    <t>Skut. 2015 v tis. Kč</t>
  </si>
  <si>
    <t>Kč / den</t>
  </si>
  <si>
    <t>Léky a léčiva</t>
  </si>
  <si>
    <t>Krev a KV</t>
  </si>
  <si>
    <t>ZPr</t>
  </si>
  <si>
    <t>Potraviny</t>
  </si>
  <si>
    <t>Prádlo</t>
  </si>
  <si>
    <t>Osobní náklady</t>
  </si>
  <si>
    <t>Ost.nákl. v lůžkové č.</t>
  </si>
  <si>
    <t>Náklady celkem</t>
  </si>
  <si>
    <t>počet lůžek celkem</t>
  </si>
  <si>
    <t>počet lůžek JIP</t>
  </si>
  <si>
    <t>rozdíl</t>
  </si>
  <si>
    <t>Kč / lůžko</t>
  </si>
  <si>
    <r>
      <t xml:space="preserve">Náklady na lůžkoden ve FN Olomouc v roce 2015 </t>
    </r>
    <r>
      <rPr>
        <b/>
        <sz val="10"/>
        <color theme="1"/>
        <rFont val="Arial"/>
        <family val="2"/>
        <charset val="238"/>
      </rPr>
      <t>za měsíc : 12/2015</t>
    </r>
    <r>
      <rPr>
        <sz val="10"/>
        <color theme="1"/>
        <rFont val="Arial"/>
        <family val="2"/>
      </rPr>
      <t xml:space="preserve">  Počet ošetř.dnů : 17391</t>
    </r>
  </si>
  <si>
    <t>Kč / lůžko / den</t>
  </si>
  <si>
    <t>Kč / ošetř. den</t>
  </si>
  <si>
    <t>Kategorie pracovníků</t>
  </si>
  <si>
    <t>Ktg.</t>
  </si>
  <si>
    <t>lékař</t>
  </si>
  <si>
    <t>všeob.sestra</t>
  </si>
  <si>
    <t>zdravotnický asistent</t>
  </si>
  <si>
    <t>Náklady na lůžkoden ve FN Olomouc v roce 2015 za středisko : za lůžková oddělení bez JIP</t>
  </si>
  <si>
    <t>Normativ na lůžko</t>
  </si>
  <si>
    <t>mzda na lůžko / rok</t>
  </si>
  <si>
    <t>mzda na lůžko / den</t>
  </si>
  <si>
    <t>sanitář, ošetřovatel</t>
  </si>
  <si>
    <t>636, 642</t>
  </si>
  <si>
    <t>fyziterapeut, ergoterapeut</t>
  </si>
  <si>
    <t>407, 524</t>
  </si>
  <si>
    <t>osobní náklady na lůžko / den</t>
  </si>
  <si>
    <t>Celkem</t>
  </si>
  <si>
    <t xml:space="preserve">Náklady na lůžkoden ve FN Olomouc v roce 2015. Počet ošetř. dnů : </t>
  </si>
  <si>
    <t>Provozní náklady</t>
  </si>
  <si>
    <t>Náklady na 30 lůžek a rok</t>
  </si>
  <si>
    <t>Výnosy na 30 lůžek a rok</t>
  </si>
  <si>
    <t>hospodářský výsledek V - N</t>
  </si>
  <si>
    <t xml:space="preserve">   bez osobních nákladů léků, SZM, krve</t>
  </si>
  <si>
    <t xml:space="preserve">   bez osobních nákladů</t>
  </si>
  <si>
    <t>Náklady na lůžkoden ve FN Olomouc v roce 2016 za středisko : za lůžková oddělení bez JIP</t>
  </si>
  <si>
    <t xml:space="preserve">Náklady na lůžkoden ve FN Olomouc v roce 2016. Počet ošetř. dnů : </t>
  </si>
  <si>
    <t>Skut. 2016 v tis. Kč</t>
  </si>
  <si>
    <r>
      <rPr>
        <sz val="10"/>
        <color theme="1"/>
        <rFont val="Arial"/>
        <family val="2"/>
      </rPr>
      <t xml:space="preserve">Náklady na lůžkoden ve FN Olomouc v roce 2016 za měsíc : </t>
    </r>
    <r>
      <rPr>
        <sz val="10"/>
        <color theme="1"/>
        <rFont val="Arial"/>
        <family val="2"/>
      </rPr>
      <t>08/2016</t>
    </r>
    <r>
      <rPr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Počet ošetř.dnů : </t>
    </r>
    <r>
      <rPr>
        <sz val="10"/>
        <color theme="1"/>
        <rFont val="Arial"/>
        <family val="2"/>
      </rPr>
      <t>17894</t>
    </r>
  </si>
  <si>
    <t xml:space="preserve">   bez osobních nákladů léků, SZM, krve, potravin</t>
  </si>
  <si>
    <t>Skutečnost 2015</t>
  </si>
  <si>
    <t>Osobní náklady - přepočet dle OZPI</t>
  </si>
  <si>
    <t>Předpokládané náklady na lůžkoden</t>
  </si>
  <si>
    <t>Vyhodnocení</t>
  </si>
  <si>
    <t>Skutečnost 2016</t>
  </si>
  <si>
    <t>Olomouc 17.10.2016</t>
  </si>
  <si>
    <t>zpracoval Ing. Zdeněk Havlíček</t>
  </si>
  <si>
    <t>Náklady na lůžkoden ve FN Olomouc v roce 2017 (1-5) za středisko : za lůžková oddělení bez JIP</t>
  </si>
  <si>
    <t>Skutečnost 2017</t>
  </si>
  <si>
    <t>Skut. 2017 v tis. Kč</t>
  </si>
  <si>
    <t xml:space="preserve">Náklady na lůžkoden ve FN Olomouc v roce 2017. Počet ošetř. dnů : 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</si>
</sst>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#,##0.000"/>
    <numFmt numFmtId="165" formatCode="_-* #,##0.000\ _K_č_-;\-* #,##0.000\ _K_č_-;_-* &quot;-&quot;??\ _K_č_-;_-@_-"/>
    <numFmt numFmtId="166" formatCode="#,##0.00_ ;[Red]\-#,##0.00\ "/>
  </numFmts>
  <fonts count="35">
    <font>
      <sz val="10"/>
      <color theme="1"/>
      <name val="Tahoma"/>
      <family val="2"/>
    </font>
    <font>
      <sz val="11"/>
      <color theme="1"/>
      <name val="Calibri"/>
      <family val="2"/>
      <charset val="238"/>
      <scheme val="minor"/>
    </font>
    <font>
      <b/>
      <u/>
      <sz val="14"/>
      <color rgb="FF222222"/>
      <name val="Arial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  <font>
      <sz val="8"/>
      <color rgb="FF222222"/>
      <name val="Arial"/>
      <family val="2"/>
    </font>
    <font>
      <sz val="8"/>
      <color rgb="FF454545"/>
      <name val="Arial"/>
      <family val="2"/>
    </font>
    <font>
      <sz val="8"/>
      <color rgb="FF444444"/>
      <name val="Arial"/>
      <family val="2"/>
    </font>
    <font>
      <b/>
      <sz val="8"/>
      <color rgb="FF333333"/>
      <name val="Arial"/>
      <family val="2"/>
      <charset val="238"/>
    </font>
    <font>
      <b/>
      <sz val="8"/>
      <color rgb="FF444444"/>
      <name val="Arial"/>
      <family val="2"/>
      <charset val="238"/>
    </font>
    <font>
      <b/>
      <sz val="8"/>
      <color rgb="FF454545"/>
      <name val="Arial"/>
      <family val="2"/>
      <charset val="238"/>
    </font>
    <font>
      <b/>
      <sz val="8"/>
      <color rgb="FF22222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Tahoma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222222"/>
      <name val="Calibri"/>
      <family val="2"/>
      <charset val="238"/>
    </font>
    <font>
      <sz val="11"/>
      <color rgb="FF454545"/>
      <name val="Calibri"/>
      <family val="2"/>
      <charset val="238"/>
    </font>
    <font>
      <b/>
      <sz val="11"/>
      <color rgb="FF222222"/>
      <name val="Calibri"/>
      <family val="2"/>
      <charset val="238"/>
    </font>
    <font>
      <b/>
      <sz val="11"/>
      <color rgb="FF454545"/>
      <name val="Calibri"/>
      <family val="2"/>
      <charset val="238"/>
    </font>
    <font>
      <b/>
      <sz val="11"/>
      <color rgb="FF333333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Tahoma"/>
      <family val="2"/>
    </font>
    <font>
      <sz val="11"/>
      <color rgb="FF454545"/>
      <name val="Calibri"/>
      <family val="2"/>
      <charset val="238"/>
      <scheme val="minor"/>
    </font>
    <font>
      <b/>
      <sz val="8"/>
      <color rgb="FF222222"/>
      <name val="Arial"/>
      <family val="2"/>
    </font>
    <font>
      <b/>
      <sz val="8"/>
      <color rgb="FF454545"/>
      <name val="Arial"/>
      <family val="2"/>
    </font>
    <font>
      <b/>
      <sz val="10"/>
      <color theme="1"/>
      <name val="Tahoma"/>
      <family val="2"/>
      <charset val="238"/>
    </font>
    <font>
      <b/>
      <sz val="10"/>
      <color rgb="FF333333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1"/>
      <color rgb="FF222222"/>
      <name val="Calibri"/>
      <family val="2"/>
      <charset val="238"/>
      <scheme val="minor"/>
    </font>
    <font>
      <b/>
      <sz val="11"/>
      <color rgb="FF454545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rgb="FFC0C0C0"/>
      </bottom>
      <diagonal/>
    </border>
    <border>
      <left style="medium">
        <color rgb="FFE2E2E2"/>
      </left>
      <right style="medium">
        <color indexed="64"/>
      </right>
      <top style="medium">
        <color indexed="64"/>
      </top>
      <bottom style="medium">
        <color rgb="FFE2E2E2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/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/>
      <diagonal/>
    </border>
    <border>
      <left style="medium">
        <color rgb="FFEFEFEF"/>
      </left>
      <right style="medium">
        <color auto="1"/>
      </right>
      <top style="medium">
        <color rgb="FFEFEFEF"/>
      </top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D5D5D5"/>
      </left>
      <right style="medium">
        <color rgb="FFD5D5D5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  <border>
      <left style="medium">
        <color rgb="FFE2E2E2"/>
      </left>
      <right style="medium">
        <color auto="1"/>
      </right>
      <top style="medium">
        <color rgb="FFE2E2E2"/>
      </top>
      <bottom/>
      <diagonal/>
    </border>
    <border>
      <left style="medium">
        <color rgb="FFE2E2E2"/>
      </left>
      <right style="medium">
        <color rgb="FFE2E2E2"/>
      </right>
      <top style="medium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rgb="FFC0C0C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medium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72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2" borderId="3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vertical="top"/>
    </xf>
    <xf numFmtId="3" fontId="6" fillId="0" borderId="8" xfId="0" applyNumberFormat="1" applyFont="1" applyBorder="1" applyAlignment="1">
      <alignment horizontal="right" vertical="top"/>
    </xf>
    <xf numFmtId="164" fontId="6" fillId="0" borderId="9" xfId="0" applyNumberFormat="1" applyFont="1" applyBorder="1" applyAlignment="1">
      <alignment horizontal="right" vertical="top"/>
    </xf>
    <xf numFmtId="0" fontId="0" fillId="2" borderId="12" xfId="0" applyFill="1" applyBorder="1"/>
    <xf numFmtId="0" fontId="0" fillId="2" borderId="13" xfId="0" applyFill="1" applyBorder="1"/>
    <xf numFmtId="0" fontId="4" fillId="2" borderId="7" xfId="0" applyFont="1" applyFill="1" applyBorder="1" applyAlignment="1">
      <alignment vertical="top"/>
    </xf>
    <xf numFmtId="3" fontId="7" fillId="2" borderId="14" xfId="0" applyNumberFormat="1" applyFont="1" applyFill="1" applyBorder="1" applyAlignment="1">
      <alignment horizontal="right" vertical="top"/>
    </xf>
    <xf numFmtId="164" fontId="6" fillId="0" borderId="15" xfId="0" applyNumberFormat="1" applyFont="1" applyBorder="1" applyAlignment="1">
      <alignment horizontal="right" vertical="top"/>
    </xf>
    <xf numFmtId="0" fontId="5" fillId="2" borderId="16" xfId="0" applyFont="1" applyFill="1" applyBorder="1" applyAlignment="1">
      <alignment vertical="top"/>
    </xf>
    <xf numFmtId="3" fontId="6" fillId="0" borderId="17" xfId="0" applyNumberFormat="1" applyFont="1" applyBorder="1" applyAlignment="1">
      <alignment horizontal="right" vertical="top"/>
    </xf>
    <xf numFmtId="3" fontId="6" fillId="0" borderId="9" xfId="0" applyNumberFormat="1" applyFont="1" applyBorder="1" applyAlignment="1">
      <alignment horizontal="right" vertical="top"/>
    </xf>
    <xf numFmtId="0" fontId="5" fillId="2" borderId="10" xfId="0" applyFont="1" applyFill="1" applyBorder="1" applyAlignment="1">
      <alignment vertical="top"/>
    </xf>
    <xf numFmtId="3" fontId="6" fillId="0" borderId="11" xfId="0" applyNumberFormat="1" applyFont="1" applyBorder="1" applyAlignment="1">
      <alignment horizontal="right" vertical="top"/>
    </xf>
    <xf numFmtId="0" fontId="4" fillId="2" borderId="18" xfId="0" applyFont="1" applyFill="1" applyBorder="1" applyAlignment="1">
      <alignment vertical="top"/>
    </xf>
    <xf numFmtId="3" fontId="7" fillId="2" borderId="19" xfId="0" applyNumberFormat="1" applyFont="1" applyFill="1" applyBorder="1" applyAlignment="1">
      <alignment horizontal="right" vertical="top"/>
    </xf>
    <xf numFmtId="164" fontId="6" fillId="0" borderId="20" xfId="0" applyNumberFormat="1" applyFont="1" applyBorder="1" applyAlignment="1">
      <alignment horizontal="right" vertical="top"/>
    </xf>
    <xf numFmtId="0" fontId="8" fillId="2" borderId="21" xfId="0" applyFont="1" applyFill="1" applyBorder="1" applyAlignment="1">
      <alignment vertical="top"/>
    </xf>
    <xf numFmtId="3" fontId="9" fillId="2" borderId="22" xfId="0" applyNumberFormat="1" applyFont="1" applyFill="1" applyBorder="1" applyAlignment="1">
      <alignment horizontal="right" vertical="top"/>
    </xf>
    <xf numFmtId="164" fontId="10" fillId="0" borderId="23" xfId="0" applyNumberFormat="1" applyFont="1" applyBorder="1" applyAlignment="1">
      <alignment horizontal="right" vertical="top"/>
    </xf>
    <xf numFmtId="0" fontId="5" fillId="2" borderId="18" xfId="0" applyFont="1" applyFill="1" applyBorder="1" applyAlignment="1">
      <alignment vertical="top"/>
    </xf>
    <xf numFmtId="3" fontId="6" fillId="0" borderId="24" xfId="0" applyNumberFormat="1" applyFont="1" applyBorder="1" applyAlignment="1">
      <alignment horizontal="right" vertical="top"/>
    </xf>
    <xf numFmtId="164" fontId="6" fillId="0" borderId="25" xfId="0" applyNumberFormat="1" applyFont="1" applyBorder="1" applyAlignment="1">
      <alignment horizontal="right" vertical="top"/>
    </xf>
    <xf numFmtId="0" fontId="11" fillId="2" borderId="21" xfId="0" applyFont="1" applyFill="1" applyBorder="1" applyAlignment="1">
      <alignment vertical="top"/>
    </xf>
    <xf numFmtId="3" fontId="10" fillId="0" borderId="26" xfId="0" applyNumberFormat="1" applyFont="1" applyBorder="1" applyAlignment="1">
      <alignment horizontal="right" vertical="top"/>
    </xf>
    <xf numFmtId="164" fontId="10" fillId="0" borderId="27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top"/>
    </xf>
    <xf numFmtId="0" fontId="11" fillId="2" borderId="0" xfId="0" applyFont="1" applyFill="1" applyBorder="1" applyAlignment="1">
      <alignment vertical="top"/>
    </xf>
    <xf numFmtId="3" fontId="10" fillId="0" borderId="0" xfId="0" applyNumberFormat="1" applyFont="1" applyBorder="1" applyAlignment="1">
      <alignment horizontal="right" vertical="top"/>
    </xf>
    <xf numFmtId="164" fontId="10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/>
    <xf numFmtId="0" fontId="0" fillId="0" borderId="5" xfId="0" applyFill="1" applyBorder="1"/>
    <xf numFmtId="0" fontId="4" fillId="0" borderId="6" xfId="0" applyFont="1" applyFill="1" applyBorder="1" applyAlignment="1">
      <alignment horizontal="center" vertical="top"/>
    </xf>
    <xf numFmtId="164" fontId="6" fillId="0" borderId="9" xfId="0" applyNumberFormat="1" applyFont="1" applyFill="1" applyBorder="1" applyAlignment="1">
      <alignment horizontal="right" vertical="top"/>
    </xf>
    <xf numFmtId="164" fontId="10" fillId="0" borderId="27" xfId="0" applyNumberFormat="1" applyFont="1" applyFill="1" applyBorder="1" applyAlignment="1">
      <alignment horizontal="right" vertical="top"/>
    </xf>
    <xf numFmtId="49" fontId="14" fillId="0" borderId="28" xfId="0" applyNumberFormat="1" applyFont="1" applyFill="1" applyBorder="1" applyAlignment="1">
      <alignment horizontal="left" vertical="center"/>
    </xf>
    <xf numFmtId="49" fontId="14" fillId="0" borderId="29" xfId="0" applyNumberFormat="1" applyFont="1" applyFill="1" applyBorder="1" applyAlignment="1">
      <alignment horizontal="center" vertical="center"/>
    </xf>
    <xf numFmtId="0" fontId="15" fillId="0" borderId="30" xfId="0" applyFont="1" applyFill="1" applyBorder="1"/>
    <xf numFmtId="0" fontId="15" fillId="0" borderId="31" xfId="0" applyFont="1" applyFill="1" applyBorder="1" applyAlignment="1">
      <alignment horizontal="center"/>
    </xf>
    <xf numFmtId="0" fontId="15" fillId="0" borderId="32" xfId="0" applyFont="1" applyFill="1" applyBorder="1"/>
    <xf numFmtId="0" fontId="15" fillId="0" borderId="33" xfId="0" applyFont="1" applyFill="1" applyBorder="1" applyAlignment="1">
      <alignment horizontal="center"/>
    </xf>
    <xf numFmtId="49" fontId="14" fillId="0" borderId="34" xfId="0" applyNumberFormat="1" applyFont="1" applyFill="1" applyBorder="1" applyAlignment="1">
      <alignment horizontal="center" vertical="center" wrapText="1"/>
    </xf>
    <xf numFmtId="4" fontId="14" fillId="0" borderId="34" xfId="0" applyNumberFormat="1" applyFont="1" applyFill="1" applyBorder="1" applyAlignment="1">
      <alignment horizontal="center" vertical="center" wrapText="1"/>
    </xf>
    <xf numFmtId="0" fontId="15" fillId="0" borderId="36" xfId="0" applyFont="1" applyFill="1" applyBorder="1"/>
    <xf numFmtId="0" fontId="15" fillId="0" borderId="37" xfId="0" applyFont="1" applyFill="1" applyBorder="1" applyAlignment="1">
      <alignment horizontal="center"/>
    </xf>
    <xf numFmtId="165" fontId="15" fillId="0" borderId="38" xfId="1" applyNumberFormat="1" applyFont="1" applyFill="1" applyBorder="1" applyAlignment="1">
      <alignment horizontal="center"/>
    </xf>
    <xf numFmtId="4" fontId="15" fillId="0" borderId="38" xfId="1" applyNumberFormat="1" applyFont="1" applyFill="1" applyBorder="1" applyAlignment="1">
      <alignment horizontal="right"/>
    </xf>
    <xf numFmtId="165" fontId="15" fillId="0" borderId="39" xfId="1" applyNumberFormat="1" applyFont="1" applyFill="1" applyBorder="1" applyAlignment="1">
      <alignment horizontal="center"/>
    </xf>
    <xf numFmtId="4" fontId="15" fillId="0" borderId="39" xfId="1" applyNumberFormat="1" applyFont="1" applyFill="1" applyBorder="1" applyAlignment="1">
      <alignment horizontal="right"/>
    </xf>
    <xf numFmtId="165" fontId="15" fillId="0" borderId="42" xfId="1" applyNumberFormat="1" applyFont="1" applyFill="1" applyBorder="1" applyAlignment="1">
      <alignment horizontal="center"/>
    </xf>
    <xf numFmtId="4" fontId="15" fillId="0" borderId="42" xfId="1" applyNumberFormat="1" applyFont="1" applyFill="1" applyBorder="1" applyAlignment="1">
      <alignment horizontal="right"/>
    </xf>
    <xf numFmtId="0" fontId="15" fillId="0" borderId="43" xfId="0" applyFont="1" applyFill="1" applyBorder="1"/>
    <xf numFmtId="0" fontId="0" fillId="0" borderId="44" xfId="0" applyBorder="1"/>
    <xf numFmtId="4" fontId="0" fillId="0" borderId="41" xfId="0" applyNumberFormat="1" applyBorder="1"/>
    <xf numFmtId="0" fontId="17" fillId="2" borderId="46" xfId="0" applyFont="1" applyFill="1" applyBorder="1" applyAlignment="1"/>
    <xf numFmtId="3" fontId="18" fillId="0" borderId="39" xfId="0" applyNumberFormat="1" applyFont="1" applyBorder="1" applyAlignment="1">
      <alignment horizontal="right"/>
    </xf>
    <xf numFmtId="0" fontId="17" fillId="2" borderId="48" xfId="0" applyFont="1" applyFill="1" applyBorder="1" applyAlignment="1"/>
    <xf numFmtId="3" fontId="18" fillId="0" borderId="42" xfId="0" applyNumberFormat="1" applyFont="1" applyBorder="1" applyAlignment="1">
      <alignment horizontal="right"/>
    </xf>
    <xf numFmtId="0" fontId="19" fillId="2" borderId="49" xfId="0" applyFont="1" applyFill="1" applyBorder="1" applyAlignment="1"/>
    <xf numFmtId="3" fontId="20" fillId="0" borderId="41" xfId="0" applyNumberFormat="1" applyFont="1" applyBorder="1" applyAlignment="1">
      <alignment horizontal="right"/>
    </xf>
    <xf numFmtId="4" fontId="18" fillId="0" borderId="39" xfId="0" applyNumberFormat="1" applyFont="1" applyBorder="1" applyAlignment="1">
      <alignment horizontal="right"/>
    </xf>
    <xf numFmtId="4" fontId="20" fillId="0" borderId="41" xfId="0" applyNumberFormat="1" applyFont="1" applyFill="1" applyBorder="1" applyAlignment="1">
      <alignment horizontal="right"/>
    </xf>
    <xf numFmtId="0" fontId="17" fillId="2" borderId="50" xfId="0" applyFont="1" applyFill="1" applyBorder="1" applyAlignment="1"/>
    <xf numFmtId="3" fontId="18" fillId="0" borderId="38" xfId="0" applyNumberFormat="1" applyFont="1" applyBorder="1" applyAlignment="1">
      <alignment horizontal="right"/>
    </xf>
    <xf numFmtId="4" fontId="18" fillId="0" borderId="38" xfId="0" applyNumberFormat="1" applyFont="1" applyBorder="1" applyAlignment="1">
      <alignment horizontal="right"/>
    </xf>
    <xf numFmtId="4" fontId="18" fillId="0" borderId="40" xfId="0" applyNumberFormat="1" applyFont="1" applyBorder="1" applyAlignment="1">
      <alignment horizontal="right"/>
    </xf>
    <xf numFmtId="4" fontId="24" fillId="0" borderId="38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0" fontId="17" fillId="2" borderId="45" xfId="0" applyFont="1" applyFill="1" applyBorder="1" applyAlignment="1"/>
    <xf numFmtId="0" fontId="0" fillId="0" borderId="51" xfId="0" applyBorder="1"/>
    <xf numFmtId="0" fontId="0" fillId="0" borderId="53" xfId="0" applyBorder="1"/>
    <xf numFmtId="0" fontId="0" fillId="0" borderId="46" xfId="0" applyBorder="1"/>
    <xf numFmtId="0" fontId="0" fillId="0" borderId="55" xfId="0" applyBorder="1"/>
    <xf numFmtId="0" fontId="0" fillId="0" borderId="45" xfId="0" applyBorder="1"/>
    <xf numFmtId="0" fontId="0" fillId="0" borderId="48" xfId="0" applyBorder="1"/>
    <xf numFmtId="0" fontId="0" fillId="0" borderId="56" xfId="0" applyBorder="1"/>
    <xf numFmtId="0" fontId="0" fillId="0" borderId="57" xfId="0" applyBorder="1"/>
    <xf numFmtId="0" fontId="17" fillId="2" borderId="56" xfId="0" applyFont="1" applyFill="1" applyBorder="1" applyAlignment="1">
      <alignment horizontal="left"/>
    </xf>
    <xf numFmtId="0" fontId="17" fillId="2" borderId="46" xfId="0" applyFont="1" applyFill="1" applyBorder="1" applyAlignment="1">
      <alignment horizontal="left"/>
    </xf>
    <xf numFmtId="166" fontId="0" fillId="0" borderId="52" xfId="0" applyNumberFormat="1" applyBorder="1"/>
    <xf numFmtId="166" fontId="0" fillId="0" borderId="54" xfId="0" applyNumberFormat="1" applyBorder="1"/>
    <xf numFmtId="166" fontId="0" fillId="0" borderId="58" xfId="0" applyNumberFormat="1" applyBorder="1"/>
    <xf numFmtId="166" fontId="0" fillId="0" borderId="59" xfId="0" applyNumberFormat="1" applyBorder="1"/>
    <xf numFmtId="3" fontId="0" fillId="0" borderId="0" xfId="0" applyNumberFormat="1"/>
    <xf numFmtId="3" fontId="0" fillId="0" borderId="0" xfId="0" applyNumberFormat="1" applyAlignmen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25" fillId="2" borderId="21" xfId="0" applyFont="1" applyFill="1" applyBorder="1" applyAlignment="1">
      <alignment vertical="top"/>
    </xf>
    <xf numFmtId="3" fontId="26" fillId="0" borderId="26" xfId="0" applyNumberFormat="1" applyFont="1" applyBorder="1" applyAlignment="1">
      <alignment horizontal="right" vertical="top"/>
    </xf>
    <xf numFmtId="164" fontId="26" fillId="0" borderId="27" xfId="0" applyNumberFormat="1" applyFont="1" applyBorder="1" applyAlignment="1">
      <alignment horizontal="right" vertical="top"/>
    </xf>
    <xf numFmtId="164" fontId="26" fillId="0" borderId="27" xfId="0" applyNumberFormat="1" applyFont="1" applyFill="1" applyBorder="1" applyAlignment="1">
      <alignment horizontal="right" vertical="top"/>
    </xf>
    <xf numFmtId="0" fontId="25" fillId="2" borderId="0" xfId="0" applyFont="1" applyFill="1" applyBorder="1" applyAlignment="1">
      <alignment vertical="top"/>
    </xf>
    <xf numFmtId="3" fontId="26" fillId="0" borderId="0" xfId="0" applyNumberFormat="1" applyFont="1" applyBorder="1" applyAlignment="1">
      <alignment horizontal="right" vertical="top"/>
    </xf>
    <xf numFmtId="164" fontId="26" fillId="0" borderId="0" xfId="0" applyNumberFormat="1" applyFont="1" applyBorder="1" applyAlignment="1">
      <alignment horizontal="right" vertical="top"/>
    </xf>
    <xf numFmtId="3" fontId="24" fillId="0" borderId="38" xfId="0" applyNumberFormat="1" applyFont="1" applyBorder="1" applyAlignment="1">
      <alignment horizontal="right"/>
    </xf>
    <xf numFmtId="3" fontId="24" fillId="0" borderId="39" xfId="0" applyNumberFormat="1" applyFont="1" applyBorder="1" applyAlignment="1">
      <alignment horizontal="right"/>
    </xf>
    <xf numFmtId="3" fontId="24" fillId="0" borderId="40" xfId="0" applyNumberFormat="1" applyFont="1" applyBorder="1" applyAlignment="1">
      <alignment horizontal="right"/>
    </xf>
    <xf numFmtId="0" fontId="17" fillId="2" borderId="61" xfId="0" applyFont="1" applyFill="1" applyBorder="1" applyAlignment="1"/>
    <xf numFmtId="0" fontId="0" fillId="0" borderId="61" xfId="0" applyBorder="1"/>
    <xf numFmtId="0" fontId="0" fillId="0" borderId="62" xfId="0" applyBorder="1"/>
    <xf numFmtId="166" fontId="0" fillId="0" borderId="63" xfId="0" applyNumberFormat="1" applyBorder="1"/>
    <xf numFmtId="0" fontId="27" fillId="0" borderId="0" xfId="0" applyFont="1" applyAlignment="1"/>
    <xf numFmtId="0" fontId="28" fillId="2" borderId="0" xfId="0" applyFont="1" applyFill="1" applyBorder="1" applyAlignment="1">
      <alignment vertical="top"/>
    </xf>
    <xf numFmtId="0" fontId="29" fillId="0" borderId="0" xfId="0" applyFont="1" applyFill="1" applyBorder="1"/>
    <xf numFmtId="0" fontId="19" fillId="2" borderId="0" xfId="0" applyFont="1" applyFill="1" applyBorder="1" applyAlignment="1"/>
    <xf numFmtId="3" fontId="20" fillId="0" borderId="0" xfId="0" applyNumberFormat="1" applyFont="1" applyBorder="1" applyAlignment="1">
      <alignment horizontal="right"/>
    </xf>
    <xf numFmtId="4" fontId="2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4" fontId="0" fillId="0" borderId="0" xfId="0" applyNumberFormat="1"/>
    <xf numFmtId="0" fontId="21" fillId="0" borderId="47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vertical="center" wrapText="1"/>
    </xf>
    <xf numFmtId="0" fontId="0" fillId="0" borderId="1" xfId="0" applyBorder="1"/>
    <xf numFmtId="0" fontId="0" fillId="0" borderId="60" xfId="0" applyBorder="1"/>
    <xf numFmtId="0" fontId="3" fillId="0" borderId="0" xfId="0" applyFont="1" applyAlignment="1">
      <alignment vertical="center"/>
    </xf>
    <xf numFmtId="0" fontId="0" fillId="0" borderId="0" xfId="0"/>
    <xf numFmtId="0" fontId="0" fillId="0" borderId="2" xfId="0" applyBorder="1"/>
    <xf numFmtId="0" fontId="16" fillId="0" borderId="45" xfId="0" applyFont="1" applyBorder="1" applyAlignment="1"/>
    <xf numFmtId="0" fontId="16" fillId="0" borderId="48" xfId="0" applyFont="1" applyBorder="1" applyAlignment="1"/>
    <xf numFmtId="0" fontId="21" fillId="2" borderId="47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vertical="center" wrapText="1"/>
    </xf>
    <xf numFmtId="0" fontId="28" fillId="0" borderId="0" xfId="0" applyFont="1" applyFill="1" applyBorder="1" applyAlignment="1">
      <alignment vertical="top"/>
    </xf>
    <xf numFmtId="3" fontId="24" fillId="0" borderId="39" xfId="0" applyNumberFormat="1" applyFont="1" applyFill="1" applyBorder="1" applyAlignment="1">
      <alignment horizontal="right"/>
    </xf>
    <xf numFmtId="4" fontId="18" fillId="0" borderId="39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31" fillId="2" borderId="50" xfId="0" applyFont="1" applyFill="1" applyBorder="1" applyAlignment="1">
      <alignment vertical="top"/>
    </xf>
    <xf numFmtId="3" fontId="24" fillId="0" borderId="38" xfId="0" applyNumberFormat="1" applyFont="1" applyBorder="1" applyAlignment="1">
      <alignment horizontal="right" vertical="top"/>
    </xf>
    <xf numFmtId="164" fontId="24" fillId="0" borderId="38" xfId="0" applyNumberFormat="1" applyFont="1" applyBorder="1" applyAlignment="1">
      <alignment horizontal="right" vertical="top"/>
    </xf>
    <xf numFmtId="164" fontId="24" fillId="0" borderId="38" xfId="0" applyNumberFormat="1" applyFont="1" applyFill="1" applyBorder="1" applyAlignment="1">
      <alignment horizontal="right" vertical="top"/>
    </xf>
    <xf numFmtId="0" fontId="31" fillId="2" borderId="46" xfId="0" applyFont="1" applyFill="1" applyBorder="1" applyAlignment="1">
      <alignment vertical="top"/>
    </xf>
    <xf numFmtId="3" fontId="24" fillId="0" borderId="39" xfId="0" applyNumberFormat="1" applyFont="1" applyBorder="1" applyAlignment="1">
      <alignment horizontal="right" vertical="top"/>
    </xf>
    <xf numFmtId="164" fontId="24" fillId="0" borderId="39" xfId="0" applyNumberFormat="1" applyFont="1" applyBorder="1" applyAlignment="1">
      <alignment horizontal="right" vertical="top"/>
    </xf>
    <xf numFmtId="164" fontId="24" fillId="0" borderId="39" xfId="0" applyNumberFormat="1" applyFont="1" applyFill="1" applyBorder="1" applyAlignment="1">
      <alignment horizontal="right" vertical="top"/>
    </xf>
    <xf numFmtId="0" fontId="31" fillId="2" borderId="64" xfId="0" applyFont="1" applyFill="1" applyBorder="1" applyAlignment="1">
      <alignment vertical="top"/>
    </xf>
    <xf numFmtId="3" fontId="24" fillId="0" borderId="40" xfId="0" applyNumberFormat="1" applyFont="1" applyBorder="1" applyAlignment="1">
      <alignment horizontal="right" vertical="top"/>
    </xf>
    <xf numFmtId="164" fontId="24" fillId="0" borderId="40" xfId="0" applyNumberFormat="1" applyFont="1" applyBorder="1" applyAlignment="1">
      <alignment horizontal="right" vertical="top"/>
    </xf>
    <xf numFmtId="164" fontId="24" fillId="0" borderId="40" xfId="0" applyNumberFormat="1" applyFont="1" applyFill="1" applyBorder="1" applyAlignment="1">
      <alignment horizontal="right" vertical="top"/>
    </xf>
    <xf numFmtId="0" fontId="32" fillId="2" borderId="49" xfId="0" applyFont="1" applyFill="1" applyBorder="1" applyAlignment="1">
      <alignment vertical="top"/>
    </xf>
    <xf numFmtId="3" fontId="33" fillId="0" borderId="41" xfId="0" applyNumberFormat="1" applyFont="1" applyBorder="1" applyAlignment="1">
      <alignment horizontal="right" vertical="top"/>
    </xf>
    <xf numFmtId="164" fontId="33" fillId="0" borderId="41" xfId="0" applyNumberFormat="1" applyFont="1" applyBorder="1" applyAlignment="1">
      <alignment horizontal="right" vertical="top"/>
    </xf>
    <xf numFmtId="164" fontId="33" fillId="0" borderId="41" xfId="0" applyNumberFormat="1" applyFont="1" applyFill="1" applyBorder="1" applyAlignment="1">
      <alignment horizontal="right" vertical="top"/>
    </xf>
    <xf numFmtId="0" fontId="34" fillId="2" borderId="47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0" fillId="0" borderId="65" xfId="0" applyFont="1" applyBorder="1" applyAlignment="1">
      <alignment vertical="center"/>
    </xf>
    <xf numFmtId="0" fontId="34" fillId="2" borderId="47" xfId="0" applyFont="1" applyFill="1" applyBorder="1" applyAlignment="1">
      <alignment horizontal="center" vertical="center" wrapText="1"/>
    </xf>
    <xf numFmtId="0" fontId="30" fillId="0" borderId="65" xfId="0" applyFont="1" applyBorder="1" applyAlignment="1">
      <alignment vertical="center" wrapText="1"/>
    </xf>
    <xf numFmtId="0" fontId="31" fillId="2" borderId="66" xfId="0" applyFont="1" applyFill="1" applyBorder="1" applyAlignment="1">
      <alignment vertical="top"/>
    </xf>
    <xf numFmtId="3" fontId="24" fillId="0" borderId="67" xfId="0" applyNumberFormat="1" applyFont="1" applyBorder="1" applyAlignment="1">
      <alignment horizontal="right" vertical="top"/>
    </xf>
    <xf numFmtId="0" fontId="1" fillId="0" borderId="0" xfId="0" applyFont="1"/>
    <xf numFmtId="0" fontId="31" fillId="2" borderId="68" xfId="0" applyFont="1" applyFill="1" applyBorder="1" applyAlignment="1">
      <alignment vertical="top"/>
    </xf>
    <xf numFmtId="3" fontId="24" fillId="0" borderId="69" xfId="0" applyNumberFormat="1" applyFont="1" applyBorder="1" applyAlignment="1">
      <alignment horizontal="right" vertical="top"/>
    </xf>
    <xf numFmtId="0" fontId="31" fillId="2" borderId="70" xfId="0" applyFont="1" applyFill="1" applyBorder="1" applyAlignment="1">
      <alignment vertical="top"/>
    </xf>
    <xf numFmtId="3" fontId="24" fillId="0" borderId="71" xfId="0" applyNumberFormat="1" applyFont="1" applyBorder="1" applyAlignment="1">
      <alignment horizontal="right" vertical="top"/>
    </xf>
    <xf numFmtId="3" fontId="1" fillId="0" borderId="0" xfId="0" applyNumberFormat="1" applyFont="1"/>
    <xf numFmtId="166" fontId="0" fillId="0" borderId="52" xfId="0" applyNumberFormat="1" applyBorder="1" applyAlignment="1">
      <alignment vertical="center"/>
    </xf>
    <xf numFmtId="166" fontId="0" fillId="0" borderId="54" xfId="0" applyNumberFormat="1" applyBorder="1" applyAlignment="1">
      <alignment vertical="center"/>
    </xf>
    <xf numFmtId="166" fontId="0" fillId="0" borderId="58" xfId="0" applyNumberFormat="1" applyBorder="1" applyAlignment="1">
      <alignment vertical="center"/>
    </xf>
    <xf numFmtId="166" fontId="0" fillId="0" borderId="59" xfId="0" applyNumberFormat="1" applyBorder="1" applyAlignment="1">
      <alignment vertical="center"/>
    </xf>
    <xf numFmtId="166" fontId="0" fillId="0" borderId="63" xfId="0" applyNumberFormat="1" applyBorder="1" applyAlignment="1">
      <alignment vertical="center"/>
    </xf>
    <xf numFmtId="165" fontId="15" fillId="3" borderId="38" xfId="1" applyNumberFormat="1" applyFont="1" applyFill="1" applyBorder="1" applyAlignment="1">
      <alignment horizontal="center"/>
    </xf>
    <xf numFmtId="165" fontId="15" fillId="3" borderId="39" xfId="1" applyNumberFormat="1" applyFont="1" applyFill="1" applyBorder="1" applyAlignment="1">
      <alignment horizontal="center"/>
    </xf>
    <xf numFmtId="165" fontId="15" fillId="3" borderId="42" xfId="1" applyNumberFormat="1" applyFont="1" applyFill="1" applyBorder="1" applyAlignment="1">
      <alignment horizontal="center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DY%20l&#367;&#382;kod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"/>
      <sheetName val="2016"/>
      <sheetName val="2015"/>
      <sheetName val="NS"/>
    </sheetNames>
    <sheetDataSet>
      <sheetData sheetId="0">
        <row r="24">
          <cell r="O24">
            <v>6823.9098238747565</v>
          </cell>
        </row>
        <row r="25">
          <cell r="O25">
            <v>13797.273384751545</v>
          </cell>
        </row>
        <row r="26">
          <cell r="O26">
            <v>51756.580912863079</v>
          </cell>
        </row>
        <row r="27">
          <cell r="O27">
            <v>42332.68070029372</v>
          </cell>
        </row>
        <row r="31">
          <cell r="O31">
            <v>2313.7440000000001</v>
          </cell>
        </row>
      </sheetData>
      <sheetData sheetId="1">
        <row r="24">
          <cell r="O24">
            <v>5637.2687108886103</v>
          </cell>
        </row>
        <row r="25">
          <cell r="O25">
            <v>13318.496790757381</v>
          </cell>
        </row>
        <row r="26">
          <cell r="O26">
            <v>50427.913173652705</v>
          </cell>
        </row>
        <row r="27">
          <cell r="O27">
            <v>41189.623725315112</v>
          </cell>
        </row>
        <row r="31">
          <cell r="O31">
            <v>2026.75</v>
          </cell>
        </row>
      </sheetData>
      <sheetData sheetId="2">
        <row r="25">
          <cell r="T25">
            <v>13185.672653763439</v>
          </cell>
        </row>
        <row r="26">
          <cell r="T26">
            <v>49873.724960505533</v>
          </cell>
        </row>
        <row r="27">
          <cell r="T27">
            <v>40360.633615036713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workbookViewId="0">
      <selection activeCell="G42" sqref="G42"/>
    </sheetView>
  </sheetViews>
  <sheetFormatPr defaultRowHeight="12.75" customHeight="1"/>
  <cols>
    <col min="1" max="1" width="1.42578125" style="38" customWidth="1"/>
    <col min="2" max="2" width="43.28515625" bestFit="1" customWidth="1"/>
    <col min="3" max="7" width="15" customWidth="1"/>
  </cols>
  <sheetData>
    <row r="1" spans="1:9" ht="21" customHeight="1">
      <c r="B1" s="33" t="s">
        <v>22</v>
      </c>
      <c r="C1" s="32"/>
      <c r="D1" s="32"/>
    </row>
    <row r="2" spans="1:9" s="95" customFormat="1" ht="13.5" customHeight="1">
      <c r="B2" s="33"/>
      <c r="C2" s="32"/>
      <c r="D2" s="32"/>
    </row>
    <row r="3" spans="1:9" ht="13.5" customHeight="1">
      <c r="B3" s="111" t="s">
        <v>44</v>
      </c>
      <c r="C3" s="32"/>
      <c r="D3" s="32"/>
    </row>
    <row r="4" spans="1:9" ht="13.5" thickBot="1">
      <c r="B4" s="37" t="s">
        <v>32</v>
      </c>
      <c r="C4" s="32"/>
      <c r="D4" s="93">
        <v>255118</v>
      </c>
    </row>
    <row r="5" spans="1:9" ht="13.5" thickBot="1">
      <c r="B5" s="122"/>
      <c r="C5" s="1"/>
      <c r="D5" s="2"/>
      <c r="E5" s="39"/>
    </row>
    <row r="6" spans="1:9" ht="13.5" thickBot="1">
      <c r="B6" s="123"/>
      <c r="C6" s="4" t="s">
        <v>0</v>
      </c>
      <c r="D6" s="5" t="s">
        <v>16</v>
      </c>
      <c r="E6" s="40" t="s">
        <v>15</v>
      </c>
      <c r="G6" s="14" t="s">
        <v>10</v>
      </c>
      <c r="H6" s="15">
        <v>1149</v>
      </c>
    </row>
    <row r="7" spans="1:9" ht="13.5" thickBot="1">
      <c r="B7" s="6" t="s">
        <v>2</v>
      </c>
      <c r="C7" s="7">
        <v>67871.264809999993</v>
      </c>
      <c r="D7" s="8">
        <v>266.03871467320999</v>
      </c>
      <c r="E7" s="41">
        <f>C7/($I$8/1000)</f>
        <v>185.76290780452422</v>
      </c>
      <c r="G7" s="6" t="s">
        <v>11</v>
      </c>
      <c r="H7" s="16">
        <v>148</v>
      </c>
    </row>
    <row r="8" spans="1:9" ht="13.5" thickBot="1">
      <c r="B8" s="6" t="s">
        <v>3</v>
      </c>
      <c r="C8" s="7">
        <v>16014.12545</v>
      </c>
      <c r="D8" s="8">
        <v>62.771444782414001</v>
      </c>
      <c r="E8" s="41">
        <f t="shared" ref="E8:E12" si="0">C8/($I$8/1000)</f>
        <v>43.830485815554304</v>
      </c>
      <c r="G8" s="17" t="s">
        <v>12</v>
      </c>
      <c r="H8" s="18">
        <f>H6-H7</f>
        <v>1001</v>
      </c>
      <c r="I8" s="92">
        <f>H8*365</f>
        <v>365365</v>
      </c>
    </row>
    <row r="9" spans="1:9" ht="13.5" thickBot="1">
      <c r="B9" s="6" t="s">
        <v>4</v>
      </c>
      <c r="C9" s="7">
        <v>17510.120989999999</v>
      </c>
      <c r="D9" s="8">
        <v>68.635380451399001</v>
      </c>
      <c r="E9" s="41">
        <f t="shared" si="0"/>
        <v>47.92500920996811</v>
      </c>
    </row>
    <row r="10" spans="1:9" ht="13.5" thickBot="1">
      <c r="B10" s="6" t="s">
        <v>5</v>
      </c>
      <c r="C10" s="7">
        <v>18969.190579999999</v>
      </c>
      <c r="D10" s="8">
        <v>74.354575451358997</v>
      </c>
      <c r="E10" s="41">
        <f t="shared" si="0"/>
        <v>51.918466684000926</v>
      </c>
    </row>
    <row r="11" spans="1:9" ht="13.5" thickBot="1">
      <c r="B11" s="6" t="s">
        <v>6</v>
      </c>
      <c r="C11" s="7">
        <v>556.21765000000005</v>
      </c>
      <c r="D11" s="8">
        <v>2.1802367923860002</v>
      </c>
      <c r="E11" s="41">
        <f t="shared" si="0"/>
        <v>1.5223616109917482</v>
      </c>
    </row>
    <row r="12" spans="1:9" ht="13.5" thickBot="1">
      <c r="B12" s="6" t="s">
        <v>7</v>
      </c>
      <c r="C12" s="7">
        <v>542933.48977999995</v>
      </c>
      <c r="D12" s="8">
        <v>2128.16614186377</v>
      </c>
      <c r="E12" s="41">
        <f t="shared" si="0"/>
        <v>1486.0030100858044</v>
      </c>
    </row>
    <row r="13" spans="1:9" ht="13.5" thickBot="1">
      <c r="B13" s="25" t="s">
        <v>8</v>
      </c>
      <c r="C13" s="26">
        <v>199124.88324</v>
      </c>
      <c r="D13" s="27">
        <v>780.520712925</v>
      </c>
      <c r="E13" s="41">
        <f>C13/($I$8/1000)</f>
        <v>545.00262269237612</v>
      </c>
    </row>
    <row r="14" spans="1:9" ht="13.5" thickBot="1">
      <c r="B14" s="28" t="s">
        <v>9</v>
      </c>
      <c r="C14" s="29">
        <v>862979.29249999998</v>
      </c>
      <c r="D14" s="30">
        <v>3382.6672069395299</v>
      </c>
      <c r="E14" s="42">
        <f>SUM(E7:E13)</f>
        <v>2361.9648639032198</v>
      </c>
    </row>
    <row r="15" spans="1:9" s="31" customFormat="1">
      <c r="A15" s="38"/>
      <c r="B15" s="34"/>
      <c r="C15" s="35"/>
      <c r="D15" s="36"/>
      <c r="E15" s="36"/>
    </row>
    <row r="16" spans="1:9" ht="13.5" hidden="1" thickBot="1">
      <c r="B16" s="124" t="s">
        <v>14</v>
      </c>
      <c r="C16" s="125"/>
      <c r="D16" s="125"/>
    </row>
    <row r="17" spans="2:9" ht="13.5" hidden="1" thickBot="1">
      <c r="B17" s="122"/>
      <c r="C17" s="10"/>
      <c r="D17" s="2"/>
      <c r="E17" s="2"/>
    </row>
    <row r="18" spans="2:9" ht="13.5" hidden="1" thickBot="1">
      <c r="B18" s="126"/>
      <c r="C18" s="9"/>
      <c r="D18" s="3"/>
      <c r="E18" s="3"/>
    </row>
    <row r="19" spans="2:9" ht="13.5" hidden="1" thickBot="1">
      <c r="B19" s="126"/>
      <c r="C19" s="4" t="s">
        <v>0</v>
      </c>
      <c r="D19" s="5" t="s">
        <v>1</v>
      </c>
      <c r="E19" s="5" t="s">
        <v>13</v>
      </c>
      <c r="G19" s="14" t="s">
        <v>10</v>
      </c>
      <c r="H19" s="15">
        <v>1150</v>
      </c>
    </row>
    <row r="20" spans="2:9" ht="13.5" hidden="1" thickBot="1">
      <c r="B20" s="11" t="s">
        <v>2</v>
      </c>
      <c r="C20" s="12">
        <v>5823.26476</v>
      </c>
      <c r="D20" s="13">
        <v>334.84358346271102</v>
      </c>
      <c r="E20" s="13">
        <f>C20/($I$21/1000)</f>
        <v>187.65959073184879</v>
      </c>
      <c r="G20" s="6" t="s">
        <v>11</v>
      </c>
      <c r="H20" s="16">
        <v>149</v>
      </c>
    </row>
    <row r="21" spans="2:9" ht="13.5" hidden="1" thickBot="1">
      <c r="B21" s="11" t="s">
        <v>3</v>
      </c>
      <c r="C21" s="12">
        <v>1275.365</v>
      </c>
      <c r="D21" s="13">
        <v>73.334770858490003</v>
      </c>
      <c r="E21" s="13">
        <f t="shared" ref="E21:E26" si="1">C21/($I$21/1000)</f>
        <v>41.099706744868037</v>
      </c>
      <c r="G21" s="17" t="s">
        <v>12</v>
      </c>
      <c r="H21" s="18">
        <f>H19-H20</f>
        <v>1001</v>
      </c>
      <c r="I21">
        <f>H21*31</f>
        <v>31031</v>
      </c>
    </row>
    <row r="22" spans="2:9" ht="13.5" hidden="1" thickBot="1">
      <c r="B22" s="11" t="s">
        <v>4</v>
      </c>
      <c r="C22" s="12">
        <v>1702.7349899999999</v>
      </c>
      <c r="D22" s="13">
        <v>97.908975332067996</v>
      </c>
      <c r="E22" s="13">
        <f t="shared" si="1"/>
        <v>54.872063098192129</v>
      </c>
    </row>
    <row r="23" spans="2:9" ht="13.5" hidden="1" thickBot="1">
      <c r="B23" s="11" t="s">
        <v>5</v>
      </c>
      <c r="C23" s="12">
        <v>1406.7003</v>
      </c>
      <c r="D23" s="13">
        <v>80.886682766947999</v>
      </c>
      <c r="E23" s="13">
        <f t="shared" si="1"/>
        <v>45.332096935322745</v>
      </c>
    </row>
    <row r="24" spans="2:9" ht="13.5" hidden="1" thickBot="1">
      <c r="B24" s="11" t="s">
        <v>6</v>
      </c>
      <c r="C24" s="12">
        <v>26.158280000000001</v>
      </c>
      <c r="D24" s="13">
        <v>1.504127422229</v>
      </c>
      <c r="E24" s="13">
        <f t="shared" si="1"/>
        <v>0.84297251135960816</v>
      </c>
    </row>
    <row r="25" spans="2:9" ht="13.5" hidden="1" thickBot="1">
      <c r="B25" s="11" t="s">
        <v>7</v>
      </c>
      <c r="C25" s="12">
        <v>47453.85411</v>
      </c>
      <c r="D25" s="13">
        <v>2728.6443626013502</v>
      </c>
      <c r="E25" s="13">
        <f t="shared" si="1"/>
        <v>1529.2402471721828</v>
      </c>
    </row>
    <row r="26" spans="2:9" ht="13.5" hidden="1" thickBot="1">
      <c r="B26" s="19" t="s">
        <v>8</v>
      </c>
      <c r="C26" s="20">
        <v>22099.272270000001</v>
      </c>
      <c r="D26" s="21">
        <v>1270.7303933068799</v>
      </c>
      <c r="E26" s="13">
        <f t="shared" si="1"/>
        <v>712.16758306209931</v>
      </c>
    </row>
    <row r="27" spans="2:9" ht="13.5" hidden="1" thickBot="1">
      <c r="B27" s="22" t="s">
        <v>9</v>
      </c>
      <c r="C27" s="23">
        <v>79787.349710000097</v>
      </c>
      <c r="D27" s="24">
        <v>4587.8528957506796</v>
      </c>
      <c r="E27" s="24">
        <f>SUM(E20:E26)</f>
        <v>2571.2142602558733</v>
      </c>
    </row>
    <row r="28" spans="2:9" ht="12.75" customHeight="1" thickBot="1">
      <c r="B28" s="112" t="s">
        <v>45</v>
      </c>
    </row>
    <row r="29" spans="2:9" ht="43.5" customHeight="1" thickBot="1">
      <c r="B29" s="43" t="s">
        <v>17</v>
      </c>
      <c r="C29" s="44" t="s">
        <v>18</v>
      </c>
      <c r="D29" s="49" t="s">
        <v>23</v>
      </c>
      <c r="E29" s="50" t="s">
        <v>24</v>
      </c>
      <c r="F29" s="50" t="s">
        <v>25</v>
      </c>
      <c r="G29" s="50" t="s">
        <v>30</v>
      </c>
    </row>
    <row r="30" spans="2:9" ht="13.5" customHeight="1" thickTop="1">
      <c r="B30" s="51" t="s">
        <v>19</v>
      </c>
      <c r="C30" s="52">
        <v>101</v>
      </c>
      <c r="D30" s="53">
        <f>0.2/30</f>
        <v>6.6666666666666671E-3</v>
      </c>
      <c r="E30" s="54">
        <f>+'[1]2015'!$T$25</f>
        <v>13185.672653763439</v>
      </c>
      <c r="F30" s="54">
        <f>+E30/365</f>
        <v>36.125130558255997</v>
      </c>
      <c r="G30" s="54">
        <f>+F30*1.36</f>
        <v>49.130177559228159</v>
      </c>
    </row>
    <row r="31" spans="2:9" ht="13.5" customHeight="1">
      <c r="B31" s="45" t="s">
        <v>20</v>
      </c>
      <c r="C31" s="46">
        <v>305</v>
      </c>
      <c r="D31" s="55">
        <f>1/30</f>
        <v>3.3333333333333333E-2</v>
      </c>
      <c r="E31" s="56">
        <f>+'[1]2015'!$T$26</f>
        <v>49873.724960505533</v>
      </c>
      <c r="F31" s="56">
        <f t="shared" ref="F31:F32" si="2">+E31/365</f>
        <v>136.6403423575494</v>
      </c>
      <c r="G31" s="56">
        <f>+F31*1.36</f>
        <v>185.8308656062672</v>
      </c>
    </row>
    <row r="32" spans="2:9" ht="13.5" customHeight="1">
      <c r="B32" s="45" t="s">
        <v>21</v>
      </c>
      <c r="C32" s="46">
        <v>629</v>
      </c>
      <c r="D32" s="55">
        <f>6/30</f>
        <v>0.2</v>
      </c>
      <c r="E32" s="56">
        <f>+'[1]2015'!$T$27</f>
        <v>40360.633615036713</v>
      </c>
      <c r="F32" s="56">
        <f t="shared" si="2"/>
        <v>110.57707839736086</v>
      </c>
      <c r="G32" s="56">
        <f t="shared" ref="G32:G34" si="3">+F32*1.36</f>
        <v>150.38482662041079</v>
      </c>
    </row>
    <row r="33" spans="2:7" ht="13.5" customHeight="1">
      <c r="B33" s="45" t="s">
        <v>26</v>
      </c>
      <c r="C33" s="46" t="s">
        <v>27</v>
      </c>
      <c r="D33" s="55">
        <f>5/30</f>
        <v>0.16666666666666666</v>
      </c>
      <c r="E33" s="56">
        <f>+'[1]2015'!$T$28</f>
        <v>0</v>
      </c>
      <c r="F33" s="56">
        <f>+E33/365</f>
        <v>0</v>
      </c>
      <c r="G33" s="56">
        <f t="shared" si="3"/>
        <v>0</v>
      </c>
    </row>
    <row r="34" spans="2:7" ht="13.5" customHeight="1" thickBot="1">
      <c r="B34" s="47" t="s">
        <v>28</v>
      </c>
      <c r="C34" s="48" t="s">
        <v>29</v>
      </c>
      <c r="D34" s="57">
        <f>0.2/30</f>
        <v>6.6666666666666671E-3</v>
      </c>
      <c r="E34" s="58">
        <f>+'[1]2015'!$T$32</f>
        <v>0</v>
      </c>
      <c r="F34" s="58">
        <f>+E34/365</f>
        <v>0</v>
      </c>
      <c r="G34" s="58">
        <f t="shared" si="3"/>
        <v>0</v>
      </c>
    </row>
    <row r="35" spans="2:7" ht="13.5" customHeight="1" thickBot="1">
      <c r="B35" s="59" t="s">
        <v>31</v>
      </c>
      <c r="C35" s="60"/>
      <c r="D35" s="60"/>
      <c r="E35" s="60"/>
      <c r="F35" s="61">
        <f>+SUM(F30:F34)</f>
        <v>283.34255131316627</v>
      </c>
      <c r="G35" s="61">
        <f>+SUM(G30:G34)</f>
        <v>385.34586978590619</v>
      </c>
    </row>
    <row r="36" spans="2:7" ht="13.5" customHeight="1"/>
    <row r="37" spans="2:7" ht="13.5" customHeight="1" thickBot="1">
      <c r="B37" s="113" t="s">
        <v>46</v>
      </c>
    </row>
    <row r="38" spans="2:7" ht="27.75" customHeight="1">
      <c r="B38" s="127"/>
      <c r="C38" s="129" t="s">
        <v>0</v>
      </c>
      <c r="D38" s="129" t="s">
        <v>16</v>
      </c>
      <c r="E38" s="120" t="s">
        <v>15</v>
      </c>
    </row>
    <row r="39" spans="2:7" ht="13.5" customHeight="1" thickBot="1">
      <c r="B39" s="128"/>
      <c r="C39" s="130"/>
      <c r="D39" s="121"/>
      <c r="E39" s="121"/>
    </row>
    <row r="40" spans="2:7" ht="13.5" customHeight="1" thickTop="1">
      <c r="B40" s="70" t="s">
        <v>2</v>
      </c>
      <c r="C40" s="71">
        <v>67871.264809999993</v>
      </c>
      <c r="D40" s="72">
        <f>+C40/$D$4*1000</f>
        <v>266.03871467320999</v>
      </c>
      <c r="E40" s="74">
        <f>C40/($I$8/1000)</f>
        <v>185.76290780452422</v>
      </c>
    </row>
    <row r="41" spans="2:7" ht="13.5" customHeight="1">
      <c r="B41" s="62" t="s">
        <v>3</v>
      </c>
      <c r="C41" s="63">
        <v>16014.12545</v>
      </c>
      <c r="D41" s="68">
        <f t="shared" ref="D41:D45" si="4">+C41/$D$4*1000</f>
        <v>62.771444782414406</v>
      </c>
      <c r="E41" s="75">
        <f>C41/($I$8/1000)</f>
        <v>43.830485815554304</v>
      </c>
    </row>
    <row r="42" spans="2:7" ht="13.5" customHeight="1">
      <c r="B42" s="62" t="s">
        <v>4</v>
      </c>
      <c r="C42" s="63">
        <v>17510.120989999999</v>
      </c>
      <c r="D42" s="68">
        <f t="shared" si="4"/>
        <v>68.635380451398959</v>
      </c>
      <c r="E42" s="75">
        <f>C42/($I$8/1000)</f>
        <v>47.92500920996811</v>
      </c>
    </row>
    <row r="43" spans="2:7" ht="13.5" customHeight="1">
      <c r="B43" s="62" t="s">
        <v>5</v>
      </c>
      <c r="C43" s="63">
        <f>+D43*D4/1000</f>
        <v>17832.748200000002</v>
      </c>
      <c r="D43" s="68">
        <v>69.900000000000006</v>
      </c>
      <c r="E43" s="75">
        <f>+D43*D4/I8</f>
        <v>48.80803634721444</v>
      </c>
    </row>
    <row r="44" spans="2:7" ht="13.5" customHeight="1">
      <c r="B44" s="62" t="s">
        <v>7</v>
      </c>
      <c r="C44" s="63">
        <f>+D44*D4/1000</f>
        <v>140791.8937143276</v>
      </c>
      <c r="D44" s="68">
        <f>+E44*I8/D4</f>
        <v>551.8696983918328</v>
      </c>
      <c r="E44" s="75">
        <f>+G35</f>
        <v>385.34586978590619</v>
      </c>
    </row>
    <row r="45" spans="2:7" ht="13.5" customHeight="1" thickBot="1">
      <c r="B45" s="64" t="s">
        <v>33</v>
      </c>
      <c r="C45" s="65">
        <v>199124.88324</v>
      </c>
      <c r="D45" s="73">
        <f t="shared" si="4"/>
        <v>780.52071292499932</v>
      </c>
      <c r="E45" s="76">
        <f>C45/($I$8/1000)</f>
        <v>545.00262269237612</v>
      </c>
    </row>
    <row r="46" spans="2:7" ht="13.5" customHeight="1" thickBot="1">
      <c r="B46" s="66" t="s">
        <v>9</v>
      </c>
      <c r="C46" s="67">
        <f>SUM(C40:C45)</f>
        <v>459145.03640432761</v>
      </c>
      <c r="D46" s="69">
        <f>SUM(D40:D45)</f>
        <v>1799.7359512238554</v>
      </c>
      <c r="E46" s="69">
        <f>SUM(E40:E45)</f>
        <v>1256.6749316555433</v>
      </c>
    </row>
    <row r="47" spans="2:7" s="95" customFormat="1" ht="13.5" customHeight="1">
      <c r="B47" s="114"/>
      <c r="C47" s="115"/>
      <c r="D47" s="116"/>
      <c r="E47" s="116"/>
    </row>
    <row r="48" spans="2:7" ht="14.1" customHeight="1" thickBot="1">
      <c r="B48" s="113" t="s">
        <v>47</v>
      </c>
    </row>
    <row r="49" spans="2:5" ht="14.1" customHeight="1">
      <c r="B49" s="77" t="s">
        <v>34</v>
      </c>
      <c r="C49" s="82"/>
      <c r="D49" s="78"/>
      <c r="E49" s="88">
        <f>+E46*30*365</f>
        <v>13760590.5016282</v>
      </c>
    </row>
    <row r="50" spans="2:5" ht="14.1" customHeight="1">
      <c r="B50" s="87" t="s">
        <v>38</v>
      </c>
      <c r="C50" s="80"/>
      <c r="D50" s="79"/>
      <c r="E50" s="89">
        <f>+E49-E44*30*365</f>
        <v>9541053.227472527</v>
      </c>
    </row>
    <row r="51" spans="2:5" ht="14.1" customHeight="1" thickBot="1">
      <c r="B51" s="86" t="s">
        <v>37</v>
      </c>
      <c r="C51" s="84"/>
      <c r="D51" s="85"/>
      <c r="E51" s="90">
        <f>+E45*30*365</f>
        <v>5967778.7184815183</v>
      </c>
    </row>
    <row r="52" spans="2:5" ht="14.1" customHeight="1" thickTop="1" thickBot="1">
      <c r="B52" s="64" t="s">
        <v>35</v>
      </c>
      <c r="C52" s="83"/>
      <c r="D52" s="81"/>
      <c r="E52" s="91">
        <f>1194*30*365</f>
        <v>13074300</v>
      </c>
    </row>
    <row r="53" spans="2:5" ht="14.1" customHeight="1" thickTop="1" thickBot="1">
      <c r="B53" s="107" t="s">
        <v>36</v>
      </c>
      <c r="C53" s="108"/>
      <c r="D53" s="109"/>
      <c r="E53" s="110">
        <f>+E52-E49</f>
        <v>-686290.50162819959</v>
      </c>
    </row>
    <row r="54" spans="2:5" ht="14.1" customHeight="1"/>
    <row r="55" spans="2:5" ht="14.1" customHeight="1"/>
    <row r="56" spans="2:5" ht="14.1" customHeight="1">
      <c r="B56" s="95" t="s">
        <v>49</v>
      </c>
    </row>
    <row r="57" spans="2:5" ht="12.75" customHeight="1">
      <c r="B57" s="117" t="s">
        <v>50</v>
      </c>
    </row>
  </sheetData>
  <mergeCells count="7">
    <mergeCell ref="E38:E39"/>
    <mergeCell ref="B5:B6"/>
    <mergeCell ref="B16:D16"/>
    <mergeCell ref="B17:B19"/>
    <mergeCell ref="B38:B39"/>
    <mergeCell ref="C38:C39"/>
    <mergeCell ref="D38:D39"/>
  </mergeCells>
  <pageMargins left="0.25" right="0.25" top="0.36" bottom="0.44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1"/>
  <sheetViews>
    <sheetView topLeftCell="A13" workbookViewId="0">
      <selection activeCell="I29" sqref="I29"/>
    </sheetView>
  </sheetViews>
  <sheetFormatPr defaultRowHeight="12.75"/>
  <cols>
    <col min="1" max="1" width="1.42578125" customWidth="1"/>
    <col min="2" max="2" width="43.28515625" bestFit="1" customWidth="1"/>
    <col min="3" max="7" width="15" customWidth="1"/>
  </cols>
  <sheetData>
    <row r="1" spans="1:9" ht="21" customHeight="1">
      <c r="A1" s="95"/>
      <c r="B1" s="33" t="s">
        <v>39</v>
      </c>
      <c r="C1" s="32"/>
      <c r="D1" s="32"/>
      <c r="E1" s="95"/>
      <c r="F1" s="95"/>
      <c r="G1" s="95"/>
      <c r="H1" s="95"/>
      <c r="I1" s="95"/>
    </row>
    <row r="2" spans="1:9" ht="13.5" customHeight="1">
      <c r="A2" s="95"/>
      <c r="B2" s="32"/>
      <c r="C2" s="32"/>
      <c r="D2" s="32"/>
      <c r="E2" s="95"/>
      <c r="F2" s="95"/>
      <c r="G2" s="95"/>
      <c r="H2" s="95"/>
      <c r="I2" s="95"/>
    </row>
    <row r="3" spans="1:9" s="95" customFormat="1" ht="13.5" customHeight="1">
      <c r="B3" s="111" t="s">
        <v>48</v>
      </c>
      <c r="C3" s="32"/>
      <c r="D3" s="32"/>
    </row>
    <row r="4" spans="1:9" ht="13.5" thickBot="1">
      <c r="A4" s="95"/>
      <c r="B4" s="94" t="s">
        <v>40</v>
      </c>
      <c r="C4" s="32"/>
      <c r="D4" s="93">
        <v>170767</v>
      </c>
      <c r="E4" s="95"/>
      <c r="F4" s="95"/>
      <c r="G4" s="95"/>
      <c r="H4" s="95"/>
      <c r="I4" s="95"/>
    </row>
    <row r="5" spans="1:9" ht="13.5" customHeight="1" thickBot="1">
      <c r="A5" s="95"/>
      <c r="B5" s="122"/>
      <c r="C5" s="1"/>
      <c r="D5" s="2"/>
      <c r="E5" s="39"/>
      <c r="F5" s="95"/>
      <c r="G5" s="95"/>
      <c r="H5" s="95"/>
      <c r="I5" s="95"/>
    </row>
    <row r="6" spans="1:9" ht="13.5" customHeight="1" thickBot="1">
      <c r="A6" s="95"/>
      <c r="B6" s="126"/>
      <c r="C6" s="4" t="s">
        <v>41</v>
      </c>
      <c r="D6" s="5" t="s">
        <v>16</v>
      </c>
      <c r="E6" s="40" t="s">
        <v>15</v>
      </c>
      <c r="F6" s="95"/>
      <c r="G6" s="14" t="s">
        <v>10</v>
      </c>
      <c r="H6" s="15">
        <v>1142</v>
      </c>
      <c r="I6" s="95"/>
    </row>
    <row r="7" spans="1:9" ht="13.5" customHeight="1" thickBot="1">
      <c r="A7" s="95"/>
      <c r="B7" s="6" t="s">
        <v>2</v>
      </c>
      <c r="C7" s="7">
        <v>45608.818859999999</v>
      </c>
      <c r="D7" s="8">
        <v>267.08215791107199</v>
      </c>
      <c r="E7" s="41">
        <f>C7/($I$8/1000)</f>
        <v>189.32676986301368</v>
      </c>
      <c r="F7" s="95"/>
      <c r="G7" s="6" t="s">
        <v>11</v>
      </c>
      <c r="H7" s="16">
        <v>152</v>
      </c>
      <c r="I7" s="95"/>
    </row>
    <row r="8" spans="1:9" ht="13.5" customHeight="1" thickBot="1">
      <c r="A8" s="95"/>
      <c r="B8" s="6" t="s">
        <v>3</v>
      </c>
      <c r="C8" s="7">
        <v>8539.8919999999998</v>
      </c>
      <c r="D8" s="8">
        <v>50.009029847687003</v>
      </c>
      <c r="E8" s="41">
        <f t="shared" ref="E8:E13" si="0">C8/($I$8/1000)</f>
        <v>35.449946035699462</v>
      </c>
      <c r="F8" s="95"/>
      <c r="G8" s="17" t="s">
        <v>12</v>
      </c>
      <c r="H8" s="18">
        <f>H6-H7</f>
        <v>990</v>
      </c>
      <c r="I8" s="92">
        <f>H8*(365/12*8)</f>
        <v>240900</v>
      </c>
    </row>
    <row r="9" spans="1:9" ht="13.5" customHeight="1" thickBot="1">
      <c r="A9" s="95"/>
      <c r="B9" s="6" t="s">
        <v>4</v>
      </c>
      <c r="C9" s="7">
        <v>11595.83366</v>
      </c>
      <c r="D9" s="8">
        <v>67.904417481129002</v>
      </c>
      <c r="E9" s="41">
        <f t="shared" si="0"/>
        <v>48.135465587380658</v>
      </c>
      <c r="F9" s="95"/>
      <c r="G9" s="95"/>
      <c r="H9" s="95"/>
      <c r="I9" s="95"/>
    </row>
    <row r="10" spans="1:9" ht="13.5" customHeight="1" thickBot="1">
      <c r="A10" s="95"/>
      <c r="B10" s="6" t="s">
        <v>5</v>
      </c>
      <c r="C10" s="7">
        <v>12750.5213</v>
      </c>
      <c r="D10" s="8">
        <v>74.666190188971001</v>
      </c>
      <c r="E10" s="41">
        <f t="shared" si="0"/>
        <v>52.928689497716896</v>
      </c>
      <c r="F10" s="95"/>
      <c r="G10" s="95"/>
      <c r="H10" s="95"/>
      <c r="I10" s="95"/>
    </row>
    <row r="11" spans="1:9" ht="13.5" customHeight="1" thickBot="1">
      <c r="A11" s="95"/>
      <c r="B11" s="6" t="s">
        <v>6</v>
      </c>
      <c r="C11" s="7">
        <v>485.56337000000002</v>
      </c>
      <c r="D11" s="8">
        <v>2.843426247459</v>
      </c>
      <c r="E11" s="41">
        <f t="shared" si="0"/>
        <v>2.0156221253632212</v>
      </c>
      <c r="F11" s="95"/>
      <c r="G11" s="95"/>
      <c r="H11" s="95"/>
      <c r="I11" s="95"/>
    </row>
    <row r="12" spans="1:9" ht="13.5" customHeight="1" thickBot="1">
      <c r="A12" s="95"/>
      <c r="B12" s="6" t="s">
        <v>7</v>
      </c>
      <c r="C12" s="7">
        <v>380337.50994000002</v>
      </c>
      <c r="D12" s="8">
        <v>2227.2307292392602</v>
      </c>
      <c r="E12" s="41">
        <f t="shared" si="0"/>
        <v>1578.8190533001246</v>
      </c>
      <c r="F12" s="95"/>
      <c r="G12" s="95"/>
      <c r="H12" s="95"/>
      <c r="I12" s="95"/>
    </row>
    <row r="13" spans="1:9" ht="13.5" customHeight="1" thickBot="1">
      <c r="A13" s="95"/>
      <c r="B13" s="25" t="s">
        <v>8</v>
      </c>
      <c r="C13" s="26">
        <v>131021.9054</v>
      </c>
      <c r="D13" s="27">
        <v>767.25541468785002</v>
      </c>
      <c r="E13" s="41">
        <f t="shared" si="0"/>
        <v>543.88503694479039</v>
      </c>
      <c r="F13" s="95"/>
      <c r="G13" s="95"/>
      <c r="H13" s="95"/>
      <c r="I13" s="95"/>
    </row>
    <row r="14" spans="1:9" ht="13.5" customHeight="1" thickBot="1">
      <c r="A14" s="95"/>
      <c r="B14" s="97" t="s">
        <v>9</v>
      </c>
      <c r="C14" s="98">
        <v>590340.04452999996</v>
      </c>
      <c r="D14" s="99">
        <v>3456.99136560343</v>
      </c>
      <c r="E14" s="100">
        <f>SUM(E7:E13)</f>
        <v>2450.560583354089</v>
      </c>
      <c r="F14" s="95"/>
      <c r="G14" s="95"/>
      <c r="H14" s="95"/>
      <c r="I14" s="95"/>
    </row>
    <row r="15" spans="1:9" ht="13.5" customHeight="1">
      <c r="A15" s="95"/>
      <c r="B15" s="101"/>
      <c r="C15" s="102"/>
      <c r="D15" s="103"/>
      <c r="E15" s="103"/>
      <c r="F15" s="95"/>
      <c r="G15" s="95"/>
      <c r="H15" s="95"/>
      <c r="I15" s="95"/>
    </row>
    <row r="16" spans="1:9" ht="13.5" hidden="1" customHeight="1" thickBot="1">
      <c r="A16" s="95"/>
      <c r="B16" s="124" t="s">
        <v>42</v>
      </c>
      <c r="C16" s="125"/>
      <c r="D16" s="125"/>
      <c r="E16" s="95"/>
      <c r="F16" s="95"/>
      <c r="G16" s="95"/>
      <c r="H16" s="95"/>
      <c r="I16" s="95"/>
    </row>
    <row r="17" spans="1:9" ht="13.5" hidden="1" customHeight="1" thickBot="1">
      <c r="A17" s="95"/>
      <c r="B17" s="122"/>
      <c r="C17" s="10"/>
      <c r="D17" s="2"/>
      <c r="E17" s="2"/>
      <c r="F17" s="95"/>
      <c r="G17" s="95"/>
      <c r="H17" s="95"/>
      <c r="I17" s="95"/>
    </row>
    <row r="18" spans="1:9" ht="13.5" hidden="1" customHeight="1" thickBot="1">
      <c r="A18" s="95"/>
      <c r="B18" s="126"/>
      <c r="C18" s="9"/>
      <c r="D18" s="3"/>
      <c r="E18" s="3"/>
      <c r="F18" s="95"/>
      <c r="G18" s="14" t="s">
        <v>10</v>
      </c>
      <c r="H18" s="15">
        <v>1141</v>
      </c>
      <c r="I18" s="95"/>
    </row>
    <row r="19" spans="1:9" ht="13.5" hidden="1" customHeight="1" thickBot="1">
      <c r="A19" s="95"/>
      <c r="B19" s="126"/>
      <c r="C19" s="4" t="s">
        <v>41</v>
      </c>
      <c r="D19" s="5" t="s">
        <v>1</v>
      </c>
      <c r="E19" s="5" t="s">
        <v>13</v>
      </c>
      <c r="F19" s="95"/>
      <c r="G19" s="6" t="s">
        <v>11</v>
      </c>
      <c r="H19" s="16">
        <v>152</v>
      </c>
      <c r="I19" s="95"/>
    </row>
    <row r="20" spans="1:9" ht="13.5" hidden="1" customHeight="1" thickBot="1">
      <c r="A20" s="95"/>
      <c r="B20" s="11" t="s">
        <v>2</v>
      </c>
      <c r="C20" s="12">
        <v>4932.9522900000002</v>
      </c>
      <c r="D20" s="13">
        <v>275.67633229015303</v>
      </c>
      <c r="E20" s="8">
        <f>C20/($I$20/1000)</f>
        <v>160.89736423236246</v>
      </c>
      <c r="F20" s="95"/>
      <c r="G20" s="17" t="s">
        <v>12</v>
      </c>
      <c r="H20" s="18">
        <f>H18-H19</f>
        <v>989</v>
      </c>
      <c r="I20" s="95">
        <f>H20*31</f>
        <v>30659</v>
      </c>
    </row>
    <row r="21" spans="1:9" ht="13.5" hidden="1" customHeight="1" thickBot="1">
      <c r="A21" s="95"/>
      <c r="B21" s="11" t="s">
        <v>3</v>
      </c>
      <c r="C21" s="12">
        <v>1411.7449999999999</v>
      </c>
      <c r="D21" s="13">
        <v>78.894880965685999</v>
      </c>
      <c r="E21" s="8">
        <f t="shared" ref="E21:E26" si="1">C21/($I$20/1000)</f>
        <v>46.046674712156296</v>
      </c>
      <c r="F21" s="95"/>
      <c r="G21" s="95"/>
      <c r="H21" s="95"/>
      <c r="I21" s="95"/>
    </row>
    <row r="22" spans="1:9" ht="13.5" hidden="1" customHeight="1" thickBot="1">
      <c r="A22" s="95"/>
      <c r="B22" s="11" t="s">
        <v>4</v>
      </c>
      <c r="C22" s="12">
        <v>1519.13996</v>
      </c>
      <c r="D22" s="13">
        <v>84.896611154575993</v>
      </c>
      <c r="E22" s="8">
        <f t="shared" si="1"/>
        <v>49.549559998695329</v>
      </c>
      <c r="F22" s="95"/>
      <c r="G22" s="95"/>
      <c r="H22" s="95"/>
      <c r="I22" s="95"/>
    </row>
    <row r="23" spans="1:9" ht="13.5" hidden="1" customHeight="1" thickBot="1">
      <c r="A23" s="95"/>
      <c r="B23" s="11" t="s">
        <v>5</v>
      </c>
      <c r="C23" s="12">
        <v>1376.0576799999999</v>
      </c>
      <c r="D23" s="13">
        <v>76.900507432658998</v>
      </c>
      <c r="E23" s="8">
        <f t="shared" si="1"/>
        <v>44.882666753644934</v>
      </c>
      <c r="F23" s="95"/>
      <c r="G23" s="95"/>
      <c r="H23" s="95"/>
      <c r="I23" s="95"/>
    </row>
    <row r="24" spans="1:9" ht="13.5" hidden="1" customHeight="1" thickBot="1">
      <c r="A24" s="95"/>
      <c r="B24" s="11" t="s">
        <v>6</v>
      </c>
      <c r="C24" s="12">
        <v>70.052310000000006</v>
      </c>
      <c r="D24" s="13">
        <v>3.9148491114340001</v>
      </c>
      <c r="E24" s="8">
        <f t="shared" si="1"/>
        <v>2.2848856779412245</v>
      </c>
      <c r="F24" s="95"/>
      <c r="G24" s="95"/>
      <c r="H24" s="95"/>
      <c r="I24" s="95"/>
    </row>
    <row r="25" spans="1:9" ht="13.5" hidden="1" customHeight="1" thickBot="1">
      <c r="A25" s="95"/>
      <c r="B25" s="11" t="s">
        <v>7</v>
      </c>
      <c r="C25" s="12">
        <v>46902.961770000002</v>
      </c>
      <c r="D25" s="13">
        <v>2621.1557935620899</v>
      </c>
      <c r="E25" s="8">
        <f t="shared" si="1"/>
        <v>1529.8268622590431</v>
      </c>
      <c r="F25" s="95"/>
      <c r="G25" s="95"/>
      <c r="H25" s="95"/>
      <c r="I25" s="95"/>
    </row>
    <row r="26" spans="1:9" ht="13.5" hidden="1" customHeight="1" thickBot="1">
      <c r="A26" s="95"/>
      <c r="B26" s="19" t="s">
        <v>8</v>
      </c>
      <c r="C26" s="20">
        <v>15998.82454</v>
      </c>
      <c r="D26" s="21">
        <v>894.08877500838298</v>
      </c>
      <c r="E26" s="8">
        <f t="shared" si="1"/>
        <v>521.83125803189932</v>
      </c>
      <c r="F26" s="95"/>
      <c r="G26" s="95"/>
      <c r="H26" s="95"/>
      <c r="I26" s="95"/>
    </row>
    <row r="27" spans="1:9" ht="13.5" hidden="1" customHeight="1" thickBot="1">
      <c r="A27" s="95"/>
      <c r="B27" s="22" t="s">
        <v>9</v>
      </c>
      <c r="C27" s="23">
        <v>72211.733550000004</v>
      </c>
      <c r="D27" s="24">
        <v>4035.5277495249802</v>
      </c>
      <c r="E27" s="30">
        <f>SUM(E20:E26)</f>
        <v>2355.3192716657427</v>
      </c>
      <c r="F27" s="95"/>
      <c r="G27" s="95"/>
      <c r="H27" s="95"/>
      <c r="I27" s="95"/>
    </row>
    <row r="28" spans="1:9" ht="13.5" customHeight="1" thickBot="1">
      <c r="A28" s="95"/>
      <c r="B28" s="112" t="s">
        <v>45</v>
      </c>
      <c r="C28" s="95"/>
      <c r="D28" s="95"/>
      <c r="E28" s="95"/>
      <c r="F28" s="95"/>
      <c r="G28" s="95"/>
      <c r="H28" s="95"/>
      <c r="I28" s="95"/>
    </row>
    <row r="29" spans="1:9" ht="43.5" customHeight="1" thickBot="1">
      <c r="A29" s="95"/>
      <c r="B29" s="43" t="s">
        <v>17</v>
      </c>
      <c r="C29" s="44" t="s">
        <v>18</v>
      </c>
      <c r="D29" s="49" t="s">
        <v>23</v>
      </c>
      <c r="E29" s="50" t="s">
        <v>24</v>
      </c>
      <c r="F29" s="50" t="s">
        <v>25</v>
      </c>
      <c r="G29" s="50" t="s">
        <v>30</v>
      </c>
      <c r="H29" s="95"/>
      <c r="I29" s="95"/>
    </row>
    <row r="30" spans="1:9" ht="13.5" customHeight="1" thickTop="1">
      <c r="A30" s="95"/>
      <c r="B30" s="51" t="s">
        <v>19</v>
      </c>
      <c r="C30" s="52">
        <v>101</v>
      </c>
      <c r="D30" s="53">
        <f>0.2/30</f>
        <v>6.6666666666666671E-3</v>
      </c>
      <c r="E30" s="54">
        <f>+'[1]2016'!$O$24</f>
        <v>5637.2687108886103</v>
      </c>
      <c r="F30" s="54">
        <f>+E30/365</f>
        <v>15.444571810653727</v>
      </c>
      <c r="G30" s="54">
        <f>+F30*1.36</f>
        <v>21.004617662489071</v>
      </c>
      <c r="H30" s="95"/>
      <c r="I30" s="95"/>
    </row>
    <row r="31" spans="1:9" ht="13.5" customHeight="1">
      <c r="A31" s="95"/>
      <c r="B31" s="45" t="s">
        <v>20</v>
      </c>
      <c r="C31" s="46">
        <v>305</v>
      </c>
      <c r="D31" s="55">
        <f>1/30</f>
        <v>3.3333333333333333E-2</v>
      </c>
      <c r="E31" s="56">
        <f>+'[1]2016'!$O$25</f>
        <v>13318.496790757381</v>
      </c>
      <c r="F31" s="56">
        <f t="shared" ref="F31:F32" si="2">+E31/365</f>
        <v>36.48903230344488</v>
      </c>
      <c r="G31" s="56">
        <f>+F31*1.36</f>
        <v>49.625083932685037</v>
      </c>
      <c r="H31" s="95"/>
      <c r="I31" s="95"/>
    </row>
    <row r="32" spans="1:9" ht="13.5" customHeight="1">
      <c r="A32" s="95"/>
      <c r="B32" s="45" t="s">
        <v>21</v>
      </c>
      <c r="C32" s="46">
        <v>629</v>
      </c>
      <c r="D32" s="55">
        <f>6/30</f>
        <v>0.2</v>
      </c>
      <c r="E32" s="56">
        <f>+'[1]2016'!$O$26</f>
        <v>50427.913173652705</v>
      </c>
      <c r="F32" s="56">
        <f t="shared" si="2"/>
        <v>138.15866622918549</v>
      </c>
      <c r="G32" s="56">
        <f t="shared" ref="G32:G34" si="3">+F32*1.36</f>
        <v>187.89578607169227</v>
      </c>
      <c r="H32" s="95"/>
      <c r="I32" s="95"/>
    </row>
    <row r="33" spans="1:9" ht="13.5" customHeight="1">
      <c r="A33" s="95"/>
      <c r="B33" s="45" t="s">
        <v>26</v>
      </c>
      <c r="C33" s="46" t="s">
        <v>27</v>
      </c>
      <c r="D33" s="55">
        <f>5/30</f>
        <v>0.16666666666666666</v>
      </c>
      <c r="E33" s="56">
        <f>+'[1]2016'!$O$27</f>
        <v>41189.623725315112</v>
      </c>
      <c r="F33" s="56">
        <f>+E33/365</f>
        <v>112.84828417894552</v>
      </c>
      <c r="G33" s="56">
        <f t="shared" si="3"/>
        <v>153.47366648336592</v>
      </c>
      <c r="H33" s="95"/>
      <c r="I33" s="95"/>
    </row>
    <row r="34" spans="1:9" ht="13.5" customHeight="1" thickBot="1">
      <c r="A34" s="95"/>
      <c r="B34" s="47" t="s">
        <v>28</v>
      </c>
      <c r="C34" s="48" t="s">
        <v>29</v>
      </c>
      <c r="D34" s="57">
        <f>0.2/30</f>
        <v>6.6666666666666671E-3</v>
      </c>
      <c r="E34" s="58">
        <f>+'[1]2016'!$O$31</f>
        <v>2026.75</v>
      </c>
      <c r="F34" s="58">
        <f>+E34/365</f>
        <v>5.5527397260273972</v>
      </c>
      <c r="G34" s="58">
        <f t="shared" si="3"/>
        <v>7.5517260273972608</v>
      </c>
      <c r="H34" s="95"/>
      <c r="I34" s="95"/>
    </row>
    <row r="35" spans="1:9" ht="13.5" customHeight="1" thickBot="1">
      <c r="A35" s="95"/>
      <c r="B35" s="59" t="s">
        <v>31</v>
      </c>
      <c r="C35" s="60"/>
      <c r="D35" s="60"/>
      <c r="E35" s="60"/>
      <c r="F35" s="61">
        <f>+SUM(F30:F34)</f>
        <v>308.49329424825703</v>
      </c>
      <c r="G35" s="61">
        <f>+SUM(G30:G34)</f>
        <v>419.55088017762961</v>
      </c>
      <c r="H35" s="95"/>
      <c r="I35" s="95"/>
    </row>
    <row r="36" spans="1:9" ht="13.5" customHeight="1">
      <c r="A36" s="95"/>
      <c r="B36" s="95"/>
      <c r="C36" s="95"/>
      <c r="D36" s="95"/>
      <c r="E36" s="95"/>
      <c r="F36" s="95"/>
      <c r="G36" s="95"/>
      <c r="H36" s="95"/>
      <c r="I36" s="95"/>
    </row>
    <row r="37" spans="1:9" ht="13.5" customHeight="1" thickBot="1">
      <c r="A37" s="95"/>
      <c r="B37" s="113" t="s">
        <v>46</v>
      </c>
      <c r="C37" s="95"/>
      <c r="D37" s="95"/>
      <c r="E37" s="95"/>
      <c r="F37" s="95"/>
      <c r="G37" s="95"/>
      <c r="H37" s="95"/>
      <c r="I37" s="95"/>
    </row>
    <row r="38" spans="1:9" ht="27.75" customHeight="1">
      <c r="A38" s="95"/>
      <c r="B38" s="127"/>
      <c r="C38" s="129" t="s">
        <v>41</v>
      </c>
      <c r="D38" s="129" t="s">
        <v>16</v>
      </c>
      <c r="E38" s="120" t="s">
        <v>15</v>
      </c>
      <c r="F38" s="95"/>
      <c r="G38" s="95"/>
      <c r="H38" s="95"/>
      <c r="I38" s="95"/>
    </row>
    <row r="39" spans="1:9" ht="13.5" customHeight="1" thickBot="1">
      <c r="A39" s="95"/>
      <c r="B39" s="128"/>
      <c r="C39" s="130"/>
      <c r="D39" s="121"/>
      <c r="E39" s="121"/>
      <c r="F39" s="95"/>
      <c r="G39" s="95"/>
      <c r="H39" s="95"/>
      <c r="I39" s="95"/>
    </row>
    <row r="40" spans="1:9" ht="13.5" customHeight="1" thickTop="1">
      <c r="A40" s="95"/>
      <c r="B40" s="70" t="s">
        <v>2</v>
      </c>
      <c r="C40" s="104">
        <v>45608.818859999999</v>
      </c>
      <c r="D40" s="72">
        <f>+C40/$D$4*1000</f>
        <v>267.08215791107182</v>
      </c>
      <c r="E40" s="74">
        <f>C40/($I$8/1000)</f>
        <v>189.32676986301368</v>
      </c>
      <c r="F40" s="95"/>
      <c r="G40" s="95"/>
      <c r="H40" s="95"/>
      <c r="I40" s="95"/>
    </row>
    <row r="41" spans="1:9" ht="13.5" customHeight="1">
      <c r="A41" s="95"/>
      <c r="B41" s="62" t="s">
        <v>3</v>
      </c>
      <c r="C41" s="105">
        <v>8539.8919999999998</v>
      </c>
      <c r="D41" s="68">
        <f t="shared" ref="D41:D45" si="4">+C41/$D$4*1000</f>
        <v>50.009029847687202</v>
      </c>
      <c r="E41" s="75">
        <f>C41/($I$8/1000)</f>
        <v>35.449946035699462</v>
      </c>
      <c r="F41" s="95"/>
      <c r="G41" s="95"/>
      <c r="H41" s="95"/>
      <c r="I41" s="95"/>
    </row>
    <row r="42" spans="1:9" ht="13.5" customHeight="1">
      <c r="A42" s="95"/>
      <c r="B42" s="62" t="s">
        <v>4</v>
      </c>
      <c r="C42" s="105">
        <v>11595.83366</v>
      </c>
      <c r="D42" s="68">
        <f t="shared" si="4"/>
        <v>67.904417481129258</v>
      </c>
      <c r="E42" s="75">
        <f>C42/($I$8/1000)</f>
        <v>48.135465587380658</v>
      </c>
      <c r="F42" s="95"/>
      <c r="G42" s="95"/>
      <c r="H42" s="95"/>
      <c r="I42" s="95"/>
    </row>
    <row r="43" spans="1:9" ht="13.5" customHeight="1">
      <c r="A43" s="95"/>
      <c r="B43" s="62" t="s">
        <v>5</v>
      </c>
      <c r="C43" s="105">
        <f>+D43*D4/1000</f>
        <v>11936.613300000001</v>
      </c>
      <c r="D43" s="68">
        <v>69.900000000000006</v>
      </c>
      <c r="E43" s="75">
        <f>+D43*D4/I8</f>
        <v>49.550075965130766</v>
      </c>
      <c r="F43" s="95"/>
      <c r="G43" s="95"/>
      <c r="H43" s="95"/>
      <c r="I43" s="95"/>
    </row>
    <row r="44" spans="1:9" ht="13.5" customHeight="1">
      <c r="A44" s="95"/>
      <c r="B44" s="62" t="s">
        <v>7</v>
      </c>
      <c r="C44" s="105">
        <f>+D44*D4/1000</f>
        <v>101069.80703479098</v>
      </c>
      <c r="D44" s="68">
        <f>+E44*I8/D4</f>
        <v>591.85795285266465</v>
      </c>
      <c r="E44" s="75">
        <f>+G35</f>
        <v>419.55088017762961</v>
      </c>
      <c r="F44" s="95"/>
      <c r="G44" s="95"/>
      <c r="H44" s="95"/>
      <c r="I44" s="95"/>
    </row>
    <row r="45" spans="1:9" ht="13.5" customHeight="1" thickBot="1">
      <c r="A45" s="95"/>
      <c r="B45" s="64" t="s">
        <v>33</v>
      </c>
      <c r="C45" s="106">
        <v>131021.9054</v>
      </c>
      <c r="D45" s="73">
        <f t="shared" si="4"/>
        <v>767.25541468784957</v>
      </c>
      <c r="E45" s="76">
        <f>C45/($I$8/1000)</f>
        <v>543.88503694479039</v>
      </c>
      <c r="F45" s="95"/>
      <c r="G45" s="95"/>
      <c r="H45" s="95"/>
      <c r="I45" s="95"/>
    </row>
    <row r="46" spans="1:9" ht="13.5" customHeight="1" thickBot="1">
      <c r="A46" s="95"/>
      <c r="B46" s="66" t="s">
        <v>9</v>
      </c>
      <c r="C46" s="67">
        <f>SUM(C40:C45)</f>
        <v>309772.87025479099</v>
      </c>
      <c r="D46" s="69">
        <f>SUM(D40:D45)</f>
        <v>1814.0089727804025</v>
      </c>
      <c r="E46" s="69">
        <f>SUM(E40:E45)</f>
        <v>1285.8981745736446</v>
      </c>
      <c r="F46" s="95"/>
      <c r="G46" s="95"/>
      <c r="H46" s="95"/>
      <c r="I46" s="95"/>
    </row>
    <row r="47" spans="1:9" s="95" customFormat="1" ht="13.5" customHeight="1">
      <c r="B47" s="114"/>
      <c r="C47" s="115"/>
      <c r="D47" s="116"/>
      <c r="E47" s="116"/>
    </row>
    <row r="48" spans="1:9" ht="13.5" customHeight="1" thickBot="1">
      <c r="A48" s="95"/>
      <c r="B48" s="113" t="s">
        <v>47</v>
      </c>
      <c r="C48" s="95"/>
      <c r="D48" s="95"/>
      <c r="E48" s="95"/>
      <c r="F48" s="95"/>
      <c r="G48" s="95"/>
      <c r="H48" s="95"/>
      <c r="I48" s="95"/>
    </row>
    <row r="49" spans="1:9" ht="13.5" customHeight="1">
      <c r="A49" s="95"/>
      <c r="B49" s="77" t="s">
        <v>34</v>
      </c>
      <c r="C49" s="82"/>
      <c r="D49" s="78"/>
      <c r="E49" s="88">
        <f>+E46*30*365</f>
        <v>14080585.011581408</v>
      </c>
      <c r="F49" s="95"/>
      <c r="G49" s="95"/>
      <c r="H49" s="95"/>
      <c r="I49" s="95"/>
    </row>
    <row r="50" spans="1:9" ht="13.5" customHeight="1">
      <c r="A50" s="95"/>
      <c r="B50" s="87" t="s">
        <v>38</v>
      </c>
      <c r="C50" s="80"/>
      <c r="D50" s="79"/>
      <c r="E50" s="89">
        <f>+E49-E44*30*365</f>
        <v>9486502.8736363649</v>
      </c>
      <c r="F50" s="95"/>
      <c r="G50" s="95"/>
      <c r="H50" s="95"/>
      <c r="I50" s="95"/>
    </row>
    <row r="51" spans="1:9" ht="13.5" customHeight="1" thickBot="1">
      <c r="A51" s="95"/>
      <c r="B51" s="86" t="s">
        <v>43</v>
      </c>
      <c r="C51" s="84"/>
      <c r="D51" s="85"/>
      <c r="E51" s="90">
        <f>+E45*30*365</f>
        <v>5955541.1545454552</v>
      </c>
      <c r="F51" s="95"/>
      <c r="G51" s="95"/>
      <c r="H51" s="95"/>
      <c r="I51" s="95"/>
    </row>
    <row r="52" spans="1:9" ht="13.5" customHeight="1" thickTop="1" thickBot="1">
      <c r="A52" s="95"/>
      <c r="B52" s="64" t="s">
        <v>35</v>
      </c>
      <c r="C52" s="83"/>
      <c r="D52" s="81"/>
      <c r="E52" s="91">
        <f>1194*30*365</f>
        <v>13074300</v>
      </c>
      <c r="F52" s="95"/>
      <c r="G52" s="95"/>
      <c r="H52" s="95"/>
      <c r="I52" s="95"/>
    </row>
    <row r="53" spans="1:9" ht="13.5" customHeight="1" thickTop="1" thickBot="1">
      <c r="A53" s="95"/>
      <c r="B53" s="107" t="s">
        <v>36</v>
      </c>
      <c r="C53" s="108"/>
      <c r="D53" s="109"/>
      <c r="E53" s="110">
        <f>+E52-E49</f>
        <v>-1006285.0115814079</v>
      </c>
      <c r="F53" s="95"/>
      <c r="G53" s="95"/>
      <c r="H53" s="95"/>
      <c r="I53" s="95"/>
    </row>
    <row r="54" spans="1:9">
      <c r="A54" s="95"/>
      <c r="B54" s="95"/>
      <c r="C54" s="95"/>
      <c r="D54" s="95"/>
      <c r="E54" s="95"/>
      <c r="F54" s="95"/>
      <c r="G54" s="95"/>
      <c r="H54" s="95"/>
      <c r="I54" s="95"/>
    </row>
    <row r="55" spans="1:9">
      <c r="A55" s="95"/>
      <c r="B55" s="95"/>
      <c r="C55" s="95"/>
      <c r="D55" s="95"/>
      <c r="E55" s="95"/>
      <c r="F55" s="95"/>
      <c r="G55" s="95"/>
      <c r="H55" s="95"/>
      <c r="I55" s="95"/>
    </row>
    <row r="56" spans="1:9">
      <c r="A56" s="95"/>
      <c r="B56" s="95" t="s">
        <v>49</v>
      </c>
      <c r="C56" s="95"/>
      <c r="D56" s="95"/>
      <c r="E56" s="95"/>
      <c r="F56" s="95"/>
      <c r="G56" s="95"/>
      <c r="H56" s="95"/>
      <c r="I56" s="95"/>
    </row>
    <row r="57" spans="1:9">
      <c r="A57" s="95"/>
      <c r="B57" s="117" t="s">
        <v>50</v>
      </c>
      <c r="C57" s="95"/>
      <c r="D57" s="95"/>
      <c r="E57" s="95"/>
      <c r="F57" s="95"/>
      <c r="G57" s="95"/>
      <c r="H57" s="95"/>
      <c r="I57" s="95"/>
    </row>
    <row r="58" spans="1:9">
      <c r="A58" s="95"/>
      <c r="B58" s="95"/>
      <c r="C58" s="95"/>
      <c r="D58" s="95"/>
      <c r="E58" s="95"/>
      <c r="F58" s="95"/>
      <c r="G58" s="95"/>
      <c r="H58" s="95"/>
      <c r="I58" s="95"/>
    </row>
    <row r="59" spans="1:9">
      <c r="A59" s="95"/>
      <c r="B59" s="95"/>
      <c r="C59" s="95"/>
      <c r="D59" s="95"/>
      <c r="E59" s="95"/>
      <c r="F59" s="95"/>
      <c r="G59" s="95"/>
      <c r="H59" s="95"/>
      <c r="I59" s="95"/>
    </row>
    <row r="60" spans="1:9">
      <c r="A60" s="95"/>
      <c r="B60" s="95"/>
      <c r="C60" s="95"/>
      <c r="D60" s="95"/>
      <c r="E60" s="95"/>
      <c r="F60" s="95"/>
      <c r="G60" s="95"/>
      <c r="H60" s="95"/>
      <c r="I60" s="95"/>
    </row>
    <row r="61" spans="1:9">
      <c r="A61" s="95"/>
      <c r="B61" s="95"/>
      <c r="C61" s="95"/>
      <c r="D61" s="95"/>
      <c r="E61" s="95"/>
      <c r="F61" s="95"/>
      <c r="G61" s="95"/>
      <c r="H61" s="95"/>
      <c r="I61" s="95"/>
    </row>
    <row r="62" spans="1:9">
      <c r="A62" s="95"/>
      <c r="B62" s="95"/>
      <c r="C62" s="95"/>
      <c r="D62" s="95"/>
      <c r="E62" s="95"/>
      <c r="F62" s="95"/>
      <c r="G62" s="95"/>
      <c r="H62" s="95"/>
      <c r="I62" s="95"/>
    </row>
    <row r="63" spans="1:9">
      <c r="A63" s="95"/>
      <c r="B63" s="95"/>
      <c r="C63" s="95"/>
      <c r="D63" s="95"/>
      <c r="E63" s="95"/>
      <c r="F63" s="95"/>
      <c r="G63" s="95"/>
      <c r="H63" s="95"/>
      <c r="I63" s="95"/>
    </row>
    <row r="64" spans="1:9">
      <c r="A64" s="95"/>
      <c r="B64" s="95"/>
      <c r="C64" s="95"/>
      <c r="D64" s="95"/>
      <c r="E64" s="95"/>
      <c r="F64" s="95"/>
      <c r="G64" s="95"/>
      <c r="H64" s="95"/>
      <c r="I64" s="95"/>
    </row>
    <row r="65" spans="1:9">
      <c r="A65" s="95"/>
      <c r="B65" s="95"/>
      <c r="C65" s="95"/>
      <c r="D65" s="95"/>
      <c r="E65" s="95"/>
      <c r="F65" s="95"/>
      <c r="G65" s="95"/>
      <c r="H65" s="95"/>
      <c r="I65" s="95"/>
    </row>
    <row r="66" spans="1:9">
      <c r="A66" s="95"/>
      <c r="B66" s="95"/>
      <c r="C66" s="95"/>
      <c r="D66" s="95"/>
      <c r="E66" s="95"/>
      <c r="F66" s="95"/>
      <c r="G66" s="95"/>
      <c r="H66" s="95"/>
      <c r="I66" s="95"/>
    </row>
    <row r="67" spans="1:9">
      <c r="A67" s="95"/>
      <c r="B67" s="95"/>
      <c r="C67" s="95"/>
      <c r="D67" s="95"/>
      <c r="E67" s="95"/>
      <c r="F67" s="95"/>
      <c r="G67" s="95"/>
      <c r="H67" s="95"/>
      <c r="I67" s="95"/>
    </row>
    <row r="68" spans="1:9">
      <c r="A68" s="95"/>
      <c r="B68" s="95"/>
      <c r="C68" s="95"/>
      <c r="D68" s="95"/>
      <c r="E68" s="95"/>
      <c r="F68" s="95"/>
      <c r="G68" s="95"/>
      <c r="H68" s="95"/>
      <c r="I68" s="95"/>
    </row>
    <row r="69" spans="1:9">
      <c r="A69" s="95"/>
      <c r="B69" s="95"/>
      <c r="C69" s="95"/>
      <c r="D69" s="95"/>
      <c r="E69" s="95"/>
      <c r="F69" s="95"/>
      <c r="G69" s="95"/>
      <c r="H69" s="95"/>
      <c r="I69" s="95"/>
    </row>
    <row r="70" spans="1:9">
      <c r="A70" s="95"/>
      <c r="B70" s="95"/>
      <c r="C70" s="95"/>
      <c r="D70" s="95"/>
      <c r="E70" s="95"/>
      <c r="F70" s="95"/>
      <c r="G70" s="95"/>
      <c r="H70" s="95"/>
      <c r="I70" s="95"/>
    </row>
    <row r="71" spans="1:9">
      <c r="A71" s="95"/>
      <c r="B71" s="95"/>
      <c r="C71" s="95"/>
      <c r="D71" s="95"/>
      <c r="E71" s="95"/>
      <c r="F71" s="95"/>
      <c r="G71" s="95"/>
      <c r="H71" s="95"/>
      <c r="I71" s="95"/>
    </row>
  </sheetData>
  <mergeCells count="7">
    <mergeCell ref="E38:E39"/>
    <mergeCell ref="B5:B6"/>
    <mergeCell ref="B16:D16"/>
    <mergeCell ref="B17:B19"/>
    <mergeCell ref="B38:B39"/>
    <mergeCell ref="C38:C39"/>
    <mergeCell ref="D38:D3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57"/>
  <sheetViews>
    <sheetView tabSelected="1" topLeftCell="A13" workbookViewId="0">
      <selection activeCell="E52" sqref="E52"/>
    </sheetView>
  </sheetViews>
  <sheetFormatPr defaultRowHeight="12.75"/>
  <cols>
    <col min="1" max="1" width="1.42578125" style="96" customWidth="1"/>
    <col min="2" max="2" width="43.28515625" style="96" bestFit="1" customWidth="1"/>
    <col min="3" max="7" width="15" style="96" customWidth="1"/>
    <col min="8" max="16384" width="9.140625" style="96"/>
  </cols>
  <sheetData>
    <row r="1" spans="2:9" ht="21" customHeight="1">
      <c r="B1" s="33" t="s">
        <v>51</v>
      </c>
      <c r="C1" s="32"/>
      <c r="D1" s="32"/>
    </row>
    <row r="2" spans="2:9" ht="13.5" customHeight="1">
      <c r="B2" s="32"/>
      <c r="C2" s="32"/>
      <c r="D2" s="32"/>
    </row>
    <row r="3" spans="2:9" ht="13.5" customHeight="1">
      <c r="B3" s="111" t="s">
        <v>52</v>
      </c>
      <c r="C3" s="32"/>
      <c r="D3" s="32"/>
    </row>
    <row r="4" spans="2:9" ht="13.5" thickBot="1">
      <c r="B4" s="118" t="s">
        <v>54</v>
      </c>
      <c r="C4" s="32"/>
      <c r="D4" s="93">
        <v>113158</v>
      </c>
    </row>
    <row r="5" spans="2:9" ht="13.5" customHeight="1" thickBot="1">
      <c r="B5" s="122"/>
      <c r="C5" s="154" t="s">
        <v>53</v>
      </c>
      <c r="D5" s="151" t="s">
        <v>16</v>
      </c>
      <c r="E5" s="152" t="s">
        <v>15</v>
      </c>
    </row>
    <row r="6" spans="2:9" ht="16.5" customHeight="1" thickBot="1">
      <c r="B6" s="126"/>
      <c r="C6" s="155"/>
      <c r="D6" s="153"/>
      <c r="E6" s="153"/>
      <c r="G6" s="156" t="s">
        <v>10</v>
      </c>
      <c r="H6" s="157">
        <v>1155</v>
      </c>
      <c r="I6" s="158"/>
    </row>
    <row r="7" spans="2:9" ht="13.5" customHeight="1" thickTop="1" thickBot="1">
      <c r="B7" s="135" t="s">
        <v>2</v>
      </c>
      <c r="C7" s="136">
        <v>29503.322</v>
      </c>
      <c r="D7" s="137">
        <f>C7/D4*1000</f>
        <v>260.72678909135897</v>
      </c>
      <c r="E7" s="138">
        <f>C7/I8*1000</f>
        <v>193.41420341714581</v>
      </c>
      <c r="G7" s="159" t="s">
        <v>11</v>
      </c>
      <c r="H7" s="160">
        <v>152</v>
      </c>
      <c r="I7" s="158"/>
    </row>
    <row r="8" spans="2:9" ht="13.5" customHeight="1" thickTop="1" thickBot="1">
      <c r="B8" s="139" t="s">
        <v>3</v>
      </c>
      <c r="C8" s="140">
        <v>7521.152</v>
      </c>
      <c r="D8" s="141">
        <f>C8/D4*1000</f>
        <v>66.465932589830146</v>
      </c>
      <c r="E8" s="142">
        <f>C8/I8*1000</f>
        <v>49.306231442658323</v>
      </c>
      <c r="G8" s="161" t="s">
        <v>12</v>
      </c>
      <c r="H8" s="162">
        <f>H6-H7</f>
        <v>1003</v>
      </c>
      <c r="I8" s="163">
        <f>H8*(365/12*5)</f>
        <v>152539.58333333334</v>
      </c>
    </row>
    <row r="9" spans="2:9" ht="13.5" customHeight="1">
      <c r="B9" s="139" t="s">
        <v>4</v>
      </c>
      <c r="C9" s="140">
        <v>8059.46</v>
      </c>
      <c r="D9" s="141">
        <f>C9/D4*1000</f>
        <v>71.22306862970359</v>
      </c>
      <c r="E9" s="142">
        <f>C9/I8*1000</f>
        <v>52.835203977109764</v>
      </c>
    </row>
    <row r="10" spans="2:9" ht="13.5" customHeight="1">
      <c r="B10" s="139" t="s">
        <v>5</v>
      </c>
      <c r="C10" s="140">
        <v>8125.3040000000001</v>
      </c>
      <c r="D10" s="141">
        <f>C10/D4*1000</f>
        <v>71.804945297725311</v>
      </c>
      <c r="E10" s="142">
        <f>C10/I8*1000</f>
        <v>53.266855870743932</v>
      </c>
    </row>
    <row r="11" spans="2:9" ht="13.5" customHeight="1">
      <c r="B11" s="139" t="s">
        <v>6</v>
      </c>
      <c r="C11" s="140">
        <v>918.43100000000004</v>
      </c>
      <c r="D11" s="141">
        <f>C11/D4*1000</f>
        <v>8.1163594266423935</v>
      </c>
      <c r="E11" s="142">
        <f>C11/I8*1000</f>
        <v>6.0209355495158361</v>
      </c>
      <c r="G11" s="119"/>
    </row>
    <row r="12" spans="2:9" ht="13.5" customHeight="1">
      <c r="B12" s="139" t="s">
        <v>7</v>
      </c>
      <c r="C12" s="140">
        <v>248142.12599999999</v>
      </c>
      <c r="D12" s="141">
        <f>C12/D4*1000</f>
        <v>2192.88186429594</v>
      </c>
      <c r="E12" s="142">
        <f>C12/I8*1000</f>
        <v>1626.7392409074146</v>
      </c>
      <c r="G12" s="119"/>
    </row>
    <row r="13" spans="2:9" ht="13.5" customHeight="1" thickBot="1">
      <c r="B13" s="143" t="s">
        <v>8</v>
      </c>
      <c r="C13" s="144">
        <v>85842.45</v>
      </c>
      <c r="D13" s="145">
        <f>C13/D4*1000</f>
        <v>758.60699199349574</v>
      </c>
      <c r="E13" s="146">
        <f>C13/I8*1000</f>
        <v>562.75524112593723</v>
      </c>
      <c r="G13" s="119"/>
    </row>
    <row r="14" spans="2:9" ht="13.5" customHeight="1" thickBot="1">
      <c r="B14" s="147" t="s">
        <v>9</v>
      </c>
      <c r="C14" s="148">
        <f>SUM(C7:C13)</f>
        <v>388112.245</v>
      </c>
      <c r="D14" s="149">
        <f>C14/D4*1000</f>
        <v>3429.8259513246967</v>
      </c>
      <c r="E14" s="150">
        <f>C14/I8*1000</f>
        <v>2544.3379122905253</v>
      </c>
    </row>
    <row r="15" spans="2:9" ht="13.5" customHeight="1">
      <c r="B15" s="101"/>
      <c r="C15" s="102"/>
      <c r="D15" s="103"/>
      <c r="E15" s="103"/>
    </row>
    <row r="16" spans="2:9" ht="13.5" hidden="1" customHeight="1" thickBot="1">
      <c r="B16" s="124" t="s">
        <v>42</v>
      </c>
      <c r="C16" s="125"/>
      <c r="D16" s="125"/>
    </row>
    <row r="17" spans="2:9" ht="13.5" hidden="1" customHeight="1" thickBot="1">
      <c r="B17" s="122"/>
      <c r="C17" s="10"/>
      <c r="D17" s="2"/>
      <c r="E17" s="2"/>
    </row>
    <row r="18" spans="2:9" ht="13.5" hidden="1" customHeight="1" thickBot="1">
      <c r="B18" s="126"/>
      <c r="C18" s="9"/>
      <c r="D18" s="3"/>
      <c r="E18" s="3"/>
      <c r="G18" s="14" t="s">
        <v>10</v>
      </c>
      <c r="H18" s="15">
        <v>1141</v>
      </c>
    </row>
    <row r="19" spans="2:9" ht="13.5" hidden="1" customHeight="1" thickBot="1">
      <c r="B19" s="126"/>
      <c r="C19" s="4" t="s">
        <v>41</v>
      </c>
      <c r="D19" s="5" t="s">
        <v>1</v>
      </c>
      <c r="E19" s="5" t="s">
        <v>13</v>
      </c>
      <c r="G19" s="6" t="s">
        <v>11</v>
      </c>
      <c r="H19" s="16">
        <v>152</v>
      </c>
    </row>
    <row r="20" spans="2:9" ht="13.5" hidden="1" customHeight="1" thickBot="1">
      <c r="B20" s="11" t="s">
        <v>2</v>
      </c>
      <c r="C20" s="12">
        <v>4932.9522900000002</v>
      </c>
      <c r="D20" s="13">
        <v>275.67633229015303</v>
      </c>
      <c r="E20" s="8">
        <f>C20/($I$20/1000)</f>
        <v>160.89736423236246</v>
      </c>
      <c r="G20" s="17" t="s">
        <v>12</v>
      </c>
      <c r="H20" s="18">
        <f>H18-H19</f>
        <v>989</v>
      </c>
      <c r="I20" s="96">
        <f>H20*31</f>
        <v>30659</v>
      </c>
    </row>
    <row r="21" spans="2:9" ht="13.5" hidden="1" customHeight="1" thickBot="1">
      <c r="B21" s="11" t="s">
        <v>3</v>
      </c>
      <c r="C21" s="12">
        <v>1411.7449999999999</v>
      </c>
      <c r="D21" s="13">
        <v>78.894880965685999</v>
      </c>
      <c r="E21" s="8">
        <f t="shared" ref="E21:E26" si="0">C21/($I$20/1000)</f>
        <v>46.046674712156296</v>
      </c>
    </row>
    <row r="22" spans="2:9" ht="13.5" hidden="1" customHeight="1" thickBot="1">
      <c r="B22" s="11" t="s">
        <v>4</v>
      </c>
      <c r="C22" s="12">
        <v>1519.13996</v>
      </c>
      <c r="D22" s="13">
        <v>84.896611154575993</v>
      </c>
      <c r="E22" s="8">
        <f t="shared" si="0"/>
        <v>49.549559998695329</v>
      </c>
    </row>
    <row r="23" spans="2:9" ht="13.5" hidden="1" customHeight="1" thickBot="1">
      <c r="B23" s="11" t="s">
        <v>5</v>
      </c>
      <c r="C23" s="12">
        <v>1376.0576799999999</v>
      </c>
      <c r="D23" s="13">
        <v>76.900507432658998</v>
      </c>
      <c r="E23" s="8">
        <f t="shared" si="0"/>
        <v>44.882666753644934</v>
      </c>
    </row>
    <row r="24" spans="2:9" ht="13.5" hidden="1" customHeight="1" thickBot="1">
      <c r="B24" s="11" t="s">
        <v>6</v>
      </c>
      <c r="C24" s="12">
        <v>70.052310000000006</v>
      </c>
      <c r="D24" s="13">
        <v>3.9148491114340001</v>
      </c>
      <c r="E24" s="8">
        <f t="shared" si="0"/>
        <v>2.2848856779412245</v>
      </c>
    </row>
    <row r="25" spans="2:9" ht="13.5" hidden="1" customHeight="1" thickBot="1">
      <c r="B25" s="11" t="s">
        <v>7</v>
      </c>
      <c r="C25" s="12">
        <v>46902.961770000002</v>
      </c>
      <c r="D25" s="13">
        <v>2621.1557935620899</v>
      </c>
      <c r="E25" s="8">
        <f t="shared" si="0"/>
        <v>1529.8268622590431</v>
      </c>
    </row>
    <row r="26" spans="2:9" ht="13.5" hidden="1" customHeight="1" thickBot="1">
      <c r="B26" s="19" t="s">
        <v>8</v>
      </c>
      <c r="C26" s="20">
        <v>15998.82454</v>
      </c>
      <c r="D26" s="21">
        <v>894.08877500838298</v>
      </c>
      <c r="E26" s="8">
        <f t="shared" si="0"/>
        <v>521.83125803189932</v>
      </c>
    </row>
    <row r="27" spans="2:9" ht="13.5" hidden="1" customHeight="1" thickBot="1">
      <c r="B27" s="22" t="s">
        <v>9</v>
      </c>
      <c r="C27" s="23">
        <v>72211.733550000004</v>
      </c>
      <c r="D27" s="24">
        <v>4035.5277495249802</v>
      </c>
      <c r="E27" s="30">
        <f>SUM(E20:E26)</f>
        <v>2355.3192716657427</v>
      </c>
    </row>
    <row r="28" spans="2:9" ht="13.5" customHeight="1" thickBot="1">
      <c r="B28" s="131" t="s">
        <v>45</v>
      </c>
    </row>
    <row r="29" spans="2:9" ht="43.5" customHeight="1" thickBot="1">
      <c r="B29" s="43" t="s">
        <v>17</v>
      </c>
      <c r="C29" s="44" t="s">
        <v>18</v>
      </c>
      <c r="D29" s="49" t="s">
        <v>23</v>
      </c>
      <c r="E29" s="50" t="s">
        <v>24</v>
      </c>
      <c r="F29" s="50" t="s">
        <v>25</v>
      </c>
      <c r="G29" s="50" t="s">
        <v>30</v>
      </c>
    </row>
    <row r="30" spans="2:9" ht="13.5" customHeight="1" thickTop="1">
      <c r="B30" s="51" t="s">
        <v>19</v>
      </c>
      <c r="C30" s="52">
        <v>101</v>
      </c>
      <c r="D30" s="169">
        <f>0.2/30</f>
        <v>6.6666666666666671E-3</v>
      </c>
      <c r="E30" s="54">
        <f>+'[1]2017'!$O$24</f>
        <v>6823.9098238747565</v>
      </c>
      <c r="F30" s="54">
        <f>+E30/365</f>
        <v>18.695643353081525</v>
      </c>
      <c r="G30" s="54">
        <f>+F30*1.36</f>
        <v>25.426074960190878</v>
      </c>
    </row>
    <row r="31" spans="2:9" ht="13.5" customHeight="1">
      <c r="B31" s="45" t="s">
        <v>20</v>
      </c>
      <c r="C31" s="46">
        <v>305</v>
      </c>
      <c r="D31" s="170">
        <f>1/30</f>
        <v>3.3333333333333333E-2</v>
      </c>
      <c r="E31" s="56">
        <f>+'[1]2017'!$O$25</f>
        <v>13797.273384751545</v>
      </c>
      <c r="F31" s="56">
        <f t="shared" ref="F31:F32" si="1">+E31/365</f>
        <v>37.800748999319303</v>
      </c>
      <c r="G31" s="56">
        <f>+F31*1.36</f>
        <v>51.409018639074255</v>
      </c>
    </row>
    <row r="32" spans="2:9" ht="13.5" customHeight="1">
      <c r="B32" s="45" t="s">
        <v>21</v>
      </c>
      <c r="C32" s="46">
        <v>629</v>
      </c>
      <c r="D32" s="170">
        <f>6/30</f>
        <v>0.2</v>
      </c>
      <c r="E32" s="56">
        <f>+'[1]2017'!$O$26</f>
        <v>51756.580912863079</v>
      </c>
      <c r="F32" s="56">
        <f t="shared" si="1"/>
        <v>141.79885181606323</v>
      </c>
      <c r="G32" s="56">
        <f t="shared" ref="G32:G34" si="2">+F32*1.36</f>
        <v>192.84643846984602</v>
      </c>
    </row>
    <row r="33" spans="2:16" ht="13.5" customHeight="1">
      <c r="B33" s="45" t="s">
        <v>26</v>
      </c>
      <c r="C33" s="46" t="s">
        <v>27</v>
      </c>
      <c r="D33" s="170">
        <f>5/30</f>
        <v>0.16666666666666666</v>
      </c>
      <c r="E33" s="56">
        <f>+'[1]2017'!$O$27</f>
        <v>42332.68070029372</v>
      </c>
      <c r="F33" s="56">
        <f>+E33/365</f>
        <v>115.97994712409239</v>
      </c>
      <c r="G33" s="56">
        <f t="shared" si="2"/>
        <v>157.73272808876567</v>
      </c>
    </row>
    <row r="34" spans="2:16" ht="13.5" customHeight="1" thickBot="1">
      <c r="B34" s="47" t="s">
        <v>28</v>
      </c>
      <c r="C34" s="48" t="s">
        <v>29</v>
      </c>
      <c r="D34" s="171">
        <f>0.2/30</f>
        <v>6.6666666666666671E-3</v>
      </c>
      <c r="E34" s="58">
        <f>+'[1]2017'!$O$31</f>
        <v>2313.7440000000001</v>
      </c>
      <c r="F34" s="58">
        <f>+E34/365</f>
        <v>6.3390246575342468</v>
      </c>
      <c r="G34" s="58">
        <f t="shared" si="2"/>
        <v>8.6210735342465767</v>
      </c>
    </row>
    <row r="35" spans="2:16" ht="13.5" customHeight="1" thickBot="1">
      <c r="B35" s="59" t="s">
        <v>31</v>
      </c>
      <c r="C35" s="60"/>
      <c r="D35" s="60"/>
      <c r="E35" s="60"/>
      <c r="F35" s="61">
        <f>+SUM(F30:F34)</f>
        <v>320.61421595009074</v>
      </c>
      <c r="G35" s="61">
        <f>+SUM(G30:G34)</f>
        <v>436.0353336921234</v>
      </c>
    </row>
    <row r="36" spans="2:16" ht="13.5" customHeight="1">
      <c r="P36" s="134"/>
    </row>
    <row r="37" spans="2:16" ht="13.5" customHeight="1" thickBot="1">
      <c r="B37" s="113" t="s">
        <v>46</v>
      </c>
    </row>
    <row r="38" spans="2:16" ht="27.75" customHeight="1">
      <c r="B38" s="127"/>
      <c r="C38" s="129" t="s">
        <v>53</v>
      </c>
      <c r="D38" s="129" t="s">
        <v>16</v>
      </c>
      <c r="E38" s="120" t="s">
        <v>15</v>
      </c>
    </row>
    <row r="39" spans="2:16" ht="13.5" customHeight="1" thickBot="1">
      <c r="B39" s="128"/>
      <c r="C39" s="130"/>
      <c r="D39" s="121"/>
      <c r="E39" s="121"/>
    </row>
    <row r="40" spans="2:16" ht="13.5" customHeight="1" thickTop="1">
      <c r="B40" s="70" t="s">
        <v>2</v>
      </c>
      <c r="C40" s="104">
        <f>C7</f>
        <v>29503.322</v>
      </c>
      <c r="D40" s="72">
        <f>+C40/$D$4*1000</f>
        <v>260.72678909135897</v>
      </c>
      <c r="E40" s="74">
        <f>C40/($I$8/1000)</f>
        <v>193.41420341714579</v>
      </c>
    </row>
    <row r="41" spans="2:16" ht="13.5" customHeight="1">
      <c r="B41" s="62" t="s">
        <v>3</v>
      </c>
      <c r="C41" s="105">
        <f>C8</f>
        <v>7521.152</v>
      </c>
      <c r="D41" s="68">
        <f t="shared" ref="D41:D45" si="3">+C41/$D$4*1000</f>
        <v>66.465932589830146</v>
      </c>
      <c r="E41" s="75">
        <f>C41/($I$8/1000)</f>
        <v>49.306231442658323</v>
      </c>
    </row>
    <row r="42" spans="2:16" ht="13.5" customHeight="1">
      <c r="B42" s="62" t="s">
        <v>4</v>
      </c>
      <c r="C42" s="105">
        <f>C9</f>
        <v>8059.46</v>
      </c>
      <c r="D42" s="68">
        <f t="shared" si="3"/>
        <v>71.22306862970359</v>
      </c>
      <c r="E42" s="75">
        <f>C42/($I$8/1000)</f>
        <v>52.835203977109757</v>
      </c>
    </row>
    <row r="43" spans="2:16" ht="13.5" customHeight="1">
      <c r="B43" s="62" t="s">
        <v>5</v>
      </c>
      <c r="C43" s="105">
        <f>C10</f>
        <v>8125.3040000000001</v>
      </c>
      <c r="D43" s="68">
        <f t="shared" si="3"/>
        <v>71.804945297725311</v>
      </c>
      <c r="E43" s="75">
        <f>+D43*D4/I8</f>
        <v>53.266855870743939</v>
      </c>
    </row>
    <row r="44" spans="2:16" ht="13.5" customHeight="1">
      <c r="B44" s="62" t="s">
        <v>7</v>
      </c>
      <c r="C44" s="132">
        <f>+D44*D4/1000</f>
        <v>66512.648120007463</v>
      </c>
      <c r="D44" s="133">
        <f>+E44*I8/D4</f>
        <v>587.78564591109307</v>
      </c>
      <c r="E44" s="75">
        <f>+G35</f>
        <v>436.0353336921234</v>
      </c>
    </row>
    <row r="45" spans="2:16" ht="13.5" customHeight="1" thickBot="1">
      <c r="B45" s="64" t="s">
        <v>33</v>
      </c>
      <c r="C45" s="106">
        <f>C11+C13</f>
        <v>86760.880999999994</v>
      </c>
      <c r="D45" s="73">
        <f t="shared" si="3"/>
        <v>766.7233514201381</v>
      </c>
      <c r="E45" s="76">
        <f>C45/($I$8/1000)</f>
        <v>568.77617667545303</v>
      </c>
    </row>
    <row r="46" spans="2:16" ht="13.5" customHeight="1" thickBot="1">
      <c r="B46" s="66" t="s">
        <v>9</v>
      </c>
      <c r="C46" s="67">
        <f>SUM(C40:C45)</f>
        <v>206482.76712000745</v>
      </c>
      <c r="D46" s="69">
        <f>SUM(D40:D45)</f>
        <v>1824.7297329398493</v>
      </c>
      <c r="E46" s="69">
        <f>SUM(E40:E45)</f>
        <v>1353.6340050752342</v>
      </c>
    </row>
    <row r="47" spans="2:16" ht="13.5" customHeight="1">
      <c r="B47" s="114"/>
      <c r="C47" s="115"/>
      <c r="D47" s="116"/>
      <c r="E47" s="116"/>
    </row>
    <row r="48" spans="2:16" ht="13.5" customHeight="1" thickBot="1">
      <c r="B48" s="113" t="s">
        <v>47</v>
      </c>
    </row>
    <row r="49" spans="2:5" ht="13.5" customHeight="1">
      <c r="B49" s="77" t="s">
        <v>34</v>
      </c>
      <c r="C49" s="82"/>
      <c r="D49" s="78"/>
      <c r="E49" s="164">
        <f>+E46*30*365</f>
        <v>14822292.355573814</v>
      </c>
    </row>
    <row r="50" spans="2:5" ht="13.5" customHeight="1">
      <c r="B50" s="87" t="s">
        <v>38</v>
      </c>
      <c r="C50" s="80"/>
      <c r="D50" s="79"/>
      <c r="E50" s="165">
        <f>+E49-E44*30*365</f>
        <v>10047705.451645063</v>
      </c>
    </row>
    <row r="51" spans="2:5" ht="13.5" customHeight="1" thickBot="1">
      <c r="B51" s="86" t="s">
        <v>43</v>
      </c>
      <c r="C51" s="84"/>
      <c r="D51" s="85"/>
      <c r="E51" s="166">
        <f>+E45*30*365</f>
        <v>6228099.13459621</v>
      </c>
    </row>
    <row r="52" spans="2:5" ht="13.5" customHeight="1" thickTop="1" thickBot="1">
      <c r="B52" s="64" t="s">
        <v>35</v>
      </c>
      <c r="C52" s="83"/>
      <c r="D52" s="81"/>
      <c r="E52" s="167">
        <f>1271*30*365</f>
        <v>13917450</v>
      </c>
    </row>
    <row r="53" spans="2:5" ht="13.5" customHeight="1" thickTop="1" thickBot="1">
      <c r="B53" s="107" t="s">
        <v>36</v>
      </c>
      <c r="C53" s="108"/>
      <c r="D53" s="109"/>
      <c r="E53" s="168">
        <f>+E52-E49</f>
        <v>-904842.35557381436</v>
      </c>
    </row>
    <row r="57" spans="2:5">
      <c r="B57" s="117"/>
    </row>
  </sheetData>
  <mergeCells count="10">
    <mergeCell ref="E38:E39"/>
    <mergeCell ref="B5:B6"/>
    <mergeCell ref="B16:D16"/>
    <mergeCell ref="B17:B19"/>
    <mergeCell ref="B38:B39"/>
    <mergeCell ref="C38:C39"/>
    <mergeCell ref="D38:D39"/>
    <mergeCell ref="C5:C6"/>
    <mergeCell ref="D5:D6"/>
    <mergeCell ref="E5:E6"/>
  </mergeCells>
  <pageMargins left="0.15748031496062992" right="0.15748031496062992" top="0.11811023622047245" bottom="0.15748031496062992" header="0.11811023622047245" footer="0.15748031496062992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2015</vt:lpstr>
      <vt:lpstr>2016</vt:lpstr>
      <vt:lpstr>2017</vt:lpstr>
      <vt:lpstr>'2015'!Oblast_tisku</vt:lpstr>
      <vt:lpstr>'2017'!Oblast_tisku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ZH</cp:lastModifiedBy>
  <cp:lastPrinted>2017-07-11T08:43:40Z</cp:lastPrinted>
  <dcterms:created xsi:type="dcterms:W3CDTF">2016-10-12T06:34:07Z</dcterms:created>
  <dcterms:modified xsi:type="dcterms:W3CDTF">2017-07-11T09:20:13Z</dcterms:modified>
</cp:coreProperties>
</file>