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3"/>
  </bookViews>
  <sheets>
    <sheet name="CoY" sheetId="5" r:id="rId1"/>
    <sheet name="CoM" sheetId="6" r:id="rId2"/>
    <sheet name="2013" sheetId="4" r:id="rId3"/>
    <sheet name="2014" sheetId="1" r:id="rId4"/>
  </sheets>
  <definedNames>
    <definedName name="_xlnm.Print_Area" localSheetId="2">'2013'!$A$1:$G$25</definedName>
    <definedName name="_xlnm.Print_Area" localSheetId="3">'2014'!$A$1:$G$25</definedName>
    <definedName name="_xlnm.Print_Area" localSheetId="1">CoM!$A$1:$G$25</definedName>
    <definedName name="_xlnm.Print_Area" localSheetId="0">CoY!$A$1:$G$25</definedName>
  </definedNames>
  <calcPr calcId="145621"/>
</workbook>
</file>

<file path=xl/calcChain.xml><?xml version="1.0" encoding="utf-8"?>
<calcChain xmlns="http://schemas.openxmlformats.org/spreadsheetml/2006/main">
  <c r="D20" i="4" l="1"/>
  <c r="Q20" i="4" s="1"/>
  <c r="D20" i="5" s="1"/>
  <c r="D12" i="4"/>
  <c r="D8" i="4"/>
  <c r="Q8" i="4" s="1"/>
  <c r="D8" i="5" s="1"/>
  <c r="D6" i="4"/>
  <c r="D5" i="4"/>
  <c r="Q5" i="4" s="1"/>
  <c r="Q14" i="4" s="1"/>
  <c r="E20" i="4"/>
  <c r="R20" i="4" s="1"/>
  <c r="E20" i="5" s="1"/>
  <c r="E19" i="4"/>
  <c r="R19" i="4" s="1"/>
  <c r="E19" i="5" s="1"/>
  <c r="D19" i="4"/>
  <c r="D22" i="4" s="1"/>
  <c r="E20" i="1"/>
  <c r="D19" i="1"/>
  <c r="E19" i="1"/>
  <c r="E18" i="1"/>
  <c r="D18" i="1"/>
  <c r="F11" i="6"/>
  <c r="D11" i="6"/>
  <c r="F11" i="5"/>
  <c r="H11" i="5" s="1"/>
  <c r="D11" i="5"/>
  <c r="R18" i="4"/>
  <c r="T18" i="4" s="1"/>
  <c r="Q18" i="4"/>
  <c r="S18" i="4" s="1"/>
  <c r="Q12" i="4"/>
  <c r="D12" i="5" s="1"/>
  <c r="D15" i="5" s="1"/>
  <c r="S11" i="4"/>
  <c r="Q6" i="4"/>
  <c r="S6" i="4" s="1"/>
  <c r="S11" i="1"/>
  <c r="R20" i="1"/>
  <c r="G20" i="5" s="1"/>
  <c r="R19" i="1"/>
  <c r="R18" i="1"/>
  <c r="G18" i="5" s="1"/>
  <c r="Q19" i="1"/>
  <c r="F19" i="5" s="1"/>
  <c r="Q18" i="1"/>
  <c r="S18" i="1" s="1"/>
  <c r="Q12" i="1"/>
  <c r="F12" i="5" s="1"/>
  <c r="Q5" i="1"/>
  <c r="F5" i="5" s="1"/>
  <c r="F20" i="4"/>
  <c r="D20" i="6" s="1"/>
  <c r="G19" i="4"/>
  <c r="E19" i="6" s="1"/>
  <c r="F19" i="4"/>
  <c r="D19" i="6" s="1"/>
  <c r="G18" i="4"/>
  <c r="E18" i="6" s="1"/>
  <c r="F18" i="4"/>
  <c r="D18" i="6" s="1"/>
  <c r="F5" i="4"/>
  <c r="F14" i="4" s="1"/>
  <c r="E5" i="4"/>
  <c r="G18" i="1"/>
  <c r="G18" i="6" s="1"/>
  <c r="F18" i="1"/>
  <c r="F18" i="6" s="1"/>
  <c r="D8" i="1"/>
  <c r="Q8" i="1" s="1"/>
  <c r="D6" i="1"/>
  <c r="Q6" i="1" s="1"/>
  <c r="G20" i="1"/>
  <c r="G20" i="6" s="1"/>
  <c r="G19" i="1"/>
  <c r="G19" i="6" s="1"/>
  <c r="F19" i="1"/>
  <c r="F19" i="6" s="1"/>
  <c r="E21" i="1"/>
  <c r="D20" i="1"/>
  <c r="D21" i="1" s="1"/>
  <c r="G20" i="4" l="1"/>
  <c r="E20" i="6" s="1"/>
  <c r="D9" i="4"/>
  <c r="Q9" i="4" s="1"/>
  <c r="S9" i="4" s="1"/>
  <c r="D21" i="4"/>
  <c r="D23" i="4" s="1"/>
  <c r="D14" i="4"/>
  <c r="E21" i="4"/>
  <c r="Q19" i="4"/>
  <c r="D19" i="5" s="1"/>
  <c r="D13" i="4"/>
  <c r="F12" i="4"/>
  <c r="D12" i="6" s="1"/>
  <c r="D15" i="4"/>
  <c r="D6" i="5"/>
  <c r="D5" i="5"/>
  <c r="H5" i="5" s="1"/>
  <c r="D5" i="6"/>
  <c r="D14" i="6" s="1"/>
  <c r="Q25" i="4"/>
  <c r="D21" i="5"/>
  <c r="E21" i="5"/>
  <c r="E18" i="5"/>
  <c r="D18" i="5"/>
  <c r="D22" i="5" s="1"/>
  <c r="D22" i="6"/>
  <c r="H18" i="6"/>
  <c r="Q22" i="4"/>
  <c r="R21" i="1"/>
  <c r="I11" i="5"/>
  <c r="S6" i="1"/>
  <c r="R6" i="1"/>
  <c r="F6" i="5"/>
  <c r="I6" i="5" s="1"/>
  <c r="F14" i="5"/>
  <c r="S8" i="1"/>
  <c r="Q25" i="1"/>
  <c r="R8" i="1"/>
  <c r="F8" i="5"/>
  <c r="I12" i="5"/>
  <c r="H12" i="5"/>
  <c r="H19" i="5"/>
  <c r="I19" i="5"/>
  <c r="R5" i="1"/>
  <c r="Q13" i="1"/>
  <c r="Q15" i="1"/>
  <c r="Q20" i="1"/>
  <c r="Q22" i="1"/>
  <c r="S5" i="1"/>
  <c r="S14" i="1" s="1"/>
  <c r="S12" i="1"/>
  <c r="S19" i="1"/>
  <c r="S22" i="1" s="1"/>
  <c r="T19" i="1"/>
  <c r="F18" i="5"/>
  <c r="G19" i="5"/>
  <c r="Q14" i="1"/>
  <c r="T18" i="1"/>
  <c r="T20" i="1"/>
  <c r="G21" i="6"/>
  <c r="E21" i="6"/>
  <c r="H19" i="6"/>
  <c r="H11" i="6"/>
  <c r="I11" i="6"/>
  <c r="I18" i="6"/>
  <c r="I19" i="6"/>
  <c r="F22" i="6"/>
  <c r="D13" i="6"/>
  <c r="D15" i="6"/>
  <c r="D21" i="6"/>
  <c r="G21" i="5"/>
  <c r="F22" i="5"/>
  <c r="R5" i="4"/>
  <c r="S8" i="4"/>
  <c r="S12" i="4"/>
  <c r="T19" i="4"/>
  <c r="T20" i="4"/>
  <c r="R21" i="4"/>
  <c r="S5" i="4"/>
  <c r="S14" i="4" s="1"/>
  <c r="R6" i="4"/>
  <c r="R8" i="4"/>
  <c r="Q13" i="4"/>
  <c r="Q15" i="4"/>
  <c r="S19" i="4"/>
  <c r="S22" i="4" s="1"/>
  <c r="S20" i="4"/>
  <c r="Q21" i="4"/>
  <c r="Q23" i="4" s="1"/>
  <c r="G5" i="5"/>
  <c r="E8" i="5"/>
  <c r="F13" i="5"/>
  <c r="F15" i="5"/>
  <c r="G21" i="4"/>
  <c r="F21" i="4"/>
  <c r="F23" i="4" s="1"/>
  <c r="F22" i="4"/>
  <c r="D25" i="4"/>
  <c r="F9" i="4"/>
  <c r="G9" i="4" s="1"/>
  <c r="D7" i="4"/>
  <c r="Q7" i="4" s="1"/>
  <c r="S7" i="4" s="1"/>
  <c r="G5" i="4"/>
  <c r="E6" i="4"/>
  <c r="E8" i="4"/>
  <c r="F6" i="4"/>
  <c r="F8" i="4"/>
  <c r="D8" i="6" s="1"/>
  <c r="E8" i="6" s="1"/>
  <c r="F13" i="4"/>
  <c r="F15" i="4"/>
  <c r="G21" i="1"/>
  <c r="F22" i="1"/>
  <c r="D23" i="1"/>
  <c r="D22" i="1"/>
  <c r="F20" i="1"/>
  <c r="F20" i="6" s="1"/>
  <c r="F21" i="6" s="1"/>
  <c r="F23" i="6" s="1"/>
  <c r="F12" i="1"/>
  <c r="F12" i="6" s="1"/>
  <c r="H12" i="6" s="1"/>
  <c r="D15" i="1"/>
  <c r="D14" i="1"/>
  <c r="D13" i="1"/>
  <c r="F8" i="1"/>
  <c r="F8" i="6" s="1"/>
  <c r="E8" i="1"/>
  <c r="F5" i="1"/>
  <c r="F5" i="6" s="1"/>
  <c r="I5" i="6" s="1"/>
  <c r="E5" i="1"/>
  <c r="D25" i="1"/>
  <c r="E6" i="5" l="1"/>
  <c r="E5" i="6"/>
  <c r="E9" i="4"/>
  <c r="D7" i="5"/>
  <c r="D16" i="5" s="1"/>
  <c r="R9" i="4"/>
  <c r="I5" i="5"/>
  <c r="D23" i="5"/>
  <c r="G6" i="4"/>
  <c r="D6" i="6"/>
  <c r="Q16" i="4"/>
  <c r="D13" i="5"/>
  <c r="D9" i="5"/>
  <c r="E9" i="5" s="1"/>
  <c r="D25" i="5"/>
  <c r="D14" i="5"/>
  <c r="I14" i="5" s="1"/>
  <c r="E5" i="5"/>
  <c r="R7" i="4"/>
  <c r="I20" i="6"/>
  <c r="J21" i="6"/>
  <c r="T21" i="1"/>
  <c r="F7" i="5"/>
  <c r="I18" i="5"/>
  <c r="H18" i="5"/>
  <c r="S20" i="1"/>
  <c r="S21" i="1" s="1"/>
  <c r="S23" i="1" s="1"/>
  <c r="Q21" i="1"/>
  <c r="Q23" i="1" s="1"/>
  <c r="F20" i="5"/>
  <c r="I8" i="5"/>
  <c r="H8" i="5"/>
  <c r="I7" i="5"/>
  <c r="H7" i="5"/>
  <c r="H8" i="6"/>
  <c r="I15" i="5"/>
  <c r="H15" i="5"/>
  <c r="H22" i="5"/>
  <c r="I22" i="5"/>
  <c r="I13" i="5"/>
  <c r="H13" i="5"/>
  <c r="K21" i="5"/>
  <c r="J21" i="5"/>
  <c r="S15" i="1"/>
  <c r="S13" i="1"/>
  <c r="H14" i="5"/>
  <c r="H21" i="6"/>
  <c r="F14" i="6"/>
  <c r="H14" i="6" s="1"/>
  <c r="I12" i="6"/>
  <c r="I8" i="6"/>
  <c r="G5" i="6"/>
  <c r="H20" i="6"/>
  <c r="H5" i="6"/>
  <c r="F15" i="6"/>
  <c r="H15" i="6" s="1"/>
  <c r="F13" i="6"/>
  <c r="I13" i="6" s="1"/>
  <c r="G8" i="6"/>
  <c r="S25" i="1"/>
  <c r="F9" i="5"/>
  <c r="K21" i="6"/>
  <c r="H22" i="6"/>
  <c r="I22" i="6"/>
  <c r="D23" i="6"/>
  <c r="I23" i="6" s="1"/>
  <c r="I21" i="6"/>
  <c r="H23" i="6"/>
  <c r="G6" i="5"/>
  <c r="H6" i="5"/>
  <c r="S21" i="4"/>
  <c r="S23" i="4" s="1"/>
  <c r="T21" i="4"/>
  <c r="S16" i="4"/>
  <c r="S15" i="4"/>
  <c r="S13" i="4"/>
  <c r="S25" i="4"/>
  <c r="F25" i="5"/>
  <c r="G8" i="5"/>
  <c r="F25" i="4"/>
  <c r="G8" i="4"/>
  <c r="F7" i="4"/>
  <c r="D7" i="6" s="1"/>
  <c r="E7" i="6" s="1"/>
  <c r="D16" i="4"/>
  <c r="E7" i="4"/>
  <c r="F21" i="1"/>
  <c r="F23" i="1" s="1"/>
  <c r="G8" i="1"/>
  <c r="D9" i="1"/>
  <c r="Q9" i="1" s="1"/>
  <c r="F13" i="1"/>
  <c r="F15" i="1"/>
  <c r="D7" i="1"/>
  <c r="Q7" i="1" s="1"/>
  <c r="E6" i="1"/>
  <c r="F6" i="1"/>
  <c r="F14" i="1"/>
  <c r="G5" i="1"/>
  <c r="E7" i="5" l="1"/>
  <c r="I14" i="6"/>
  <c r="H13" i="6"/>
  <c r="I15" i="6"/>
  <c r="D9" i="6"/>
  <c r="E9" i="6" s="1"/>
  <c r="E6" i="6"/>
  <c r="D25" i="6"/>
  <c r="D16" i="6"/>
  <c r="F25" i="1"/>
  <c r="F6" i="6"/>
  <c r="S7" i="1"/>
  <c r="S16" i="1" s="1"/>
  <c r="R7" i="1"/>
  <c r="Q16" i="1"/>
  <c r="I20" i="5"/>
  <c r="F21" i="5"/>
  <c r="F23" i="5" s="1"/>
  <c r="H20" i="5"/>
  <c r="S9" i="1"/>
  <c r="R9" i="1"/>
  <c r="I25" i="5"/>
  <c r="H25" i="5"/>
  <c r="I9" i="5"/>
  <c r="H9" i="5"/>
  <c r="G9" i="5"/>
  <c r="G7" i="5"/>
  <c r="F16" i="5"/>
  <c r="G7" i="4"/>
  <c r="F16" i="4"/>
  <c r="F9" i="1"/>
  <c r="G9" i="1" s="1"/>
  <c r="E9" i="1"/>
  <c r="E7" i="1"/>
  <c r="D16" i="1"/>
  <c r="G6" i="1"/>
  <c r="F7" i="1"/>
  <c r="F7" i="6" s="1"/>
  <c r="I23" i="5" l="1"/>
  <c r="H23" i="5"/>
  <c r="I21" i="5"/>
  <c r="H21" i="5"/>
  <c r="F16" i="6"/>
  <c r="I7" i="6"/>
  <c r="H7" i="6"/>
  <c r="G7" i="6"/>
  <c r="I16" i="5"/>
  <c r="H16" i="5"/>
  <c r="H6" i="6"/>
  <c r="I6" i="6"/>
  <c r="G6" i="6"/>
  <c r="F9" i="6"/>
  <c r="F25" i="6"/>
  <c r="G7" i="1"/>
  <c r="F16" i="1"/>
  <c r="I16" i="6" l="1"/>
  <c r="H16" i="6"/>
  <c r="H25" i="6"/>
  <c r="I25" i="6"/>
  <c r="G9" i="6"/>
  <c r="H9" i="6"/>
  <c r="I9" i="6"/>
</calcChain>
</file>

<file path=xl/sharedStrings.xml><?xml version="1.0" encoding="utf-8"?>
<sst xmlns="http://schemas.openxmlformats.org/spreadsheetml/2006/main" count="186" uniqueCount="48">
  <si>
    <t>FNOL</t>
  </si>
  <si>
    <t>tis. Kč</t>
  </si>
  <si>
    <t>skutečnost</t>
  </si>
  <si>
    <t xml:space="preserve"> 1 - 8 2014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</si>
  <si>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</si>
  <si>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</si>
  <si>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</si>
  <si>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</si>
  <si>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</si>
  <si>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</si>
  <si>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</si>
  <si>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</si>
  <si>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</si>
  <si>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</si>
  <si>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</si>
  <si>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</si>
  <si>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</si>
  <si>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</si>
  <si>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</si>
  <si>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</si>
  <si>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</si>
  <si>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</si>
  <si>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</si>
  <si>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</si>
  <si>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doprava osobní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</si>
  <si>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</si>
  <si>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</si>
  <si>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</si>
  <si>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</si>
  <si>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</si>
  <si>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</si>
  <si>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</si>
  <si>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</si>
  <si>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 xml:space="preserve"> 1 - 8 2013</t>
  </si>
  <si>
    <t xml:space="preserve"> září 2013</t>
  </si>
  <si>
    <t xml:space="preserve"> říjen 2013</t>
  </si>
  <si>
    <t xml:space="preserve"> listopad 2013</t>
  </si>
  <si>
    <t xml:space="preserve"> prosinec 2013</t>
  </si>
  <si>
    <t>index</t>
  </si>
  <si>
    <t>hodnota</t>
  </si>
  <si>
    <t>2014/2013</t>
  </si>
  <si>
    <t>2014 - 2013</t>
  </si>
  <si>
    <t>počet měsíců</t>
  </si>
  <si>
    <t xml:space="preserve"> srpen 2013</t>
  </si>
  <si>
    <t xml:space="preserve"> srpen 2014</t>
  </si>
  <si>
    <t>BOD ZLOMU 9403</t>
  </si>
  <si>
    <t>PHM v litrech</t>
  </si>
  <si>
    <t>Průměrné ON na osobu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</si>
</sst>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164" fontId="17" fillId="0" borderId="1" xfId="1" applyNumberFormat="1" applyFont="1" applyBorder="1"/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9" fillId="0" borderId="1" xfId="1" applyNumberFormat="1" applyFont="1" applyBorder="1"/>
    <xf numFmtId="0" fontId="8" fillId="0" borderId="1" xfId="0" applyFont="1" applyBorder="1"/>
    <xf numFmtId="164" fontId="18" fillId="0" borderId="1" xfId="1" applyNumberFormat="1" applyFont="1" applyBorder="1"/>
    <xf numFmtId="165" fontId="12" fillId="0" borderId="0" xfId="0" applyNumberFormat="1" applyFont="1"/>
    <xf numFmtId="164" fontId="14" fillId="0" borderId="1" xfId="0" applyNumberFormat="1" applyFont="1" applyBorder="1"/>
    <xf numFmtId="0" fontId="20" fillId="0" borderId="0" xfId="0" applyFont="1"/>
    <xf numFmtId="3" fontId="20" fillId="0" borderId="0" xfId="0" applyNumberFormat="1" applyFont="1"/>
    <xf numFmtId="0" fontId="21" fillId="0" borderId="0" xfId="0" applyFo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23" fillId="0" borderId="0" xfId="0" applyFont="1"/>
    <xf numFmtId="0" fontId="23" fillId="0" borderId="0" xfId="0" applyFont="1" applyBorder="1"/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0" fontId="25" fillId="0" borderId="0" xfId="1" applyNumberFormat="1" applyFont="1" applyAlignment="1">
      <alignment horizontal="center"/>
    </xf>
    <xf numFmtId="2" fontId="9" fillId="0" borderId="0" xfId="0" applyNumberFormat="1" applyFont="1"/>
    <xf numFmtId="164" fontId="26" fillId="0" borderId="0" xfId="0" applyNumberFormat="1" applyFont="1"/>
    <xf numFmtId="164" fontId="27" fillId="0" borderId="0" xfId="0" applyNumberFormat="1" applyFont="1"/>
    <xf numFmtId="164" fontId="28" fillId="0" borderId="0" xfId="0" applyNumberFormat="1" applyFont="1"/>
    <xf numFmtId="0" fontId="15" fillId="0" borderId="0" xfId="0" applyFont="1"/>
    <xf numFmtId="3" fontId="27" fillId="0" borderId="0" xfId="0" applyNumberFormat="1" applyFont="1" applyAlignment="1"/>
    <xf numFmtId="3" fontId="29" fillId="0" borderId="0" xfId="0" applyNumberFormat="1" applyFont="1"/>
    <xf numFmtId="166" fontId="30" fillId="0" borderId="0" xfId="0" applyNumberFormat="1" applyFont="1" applyAlignment="1"/>
    <xf numFmtId="4" fontId="26" fillId="0" borderId="0" xfId="0" applyNumberFormat="1" applyFont="1"/>
    <xf numFmtId="4" fontId="30" fillId="0" borderId="0" xfId="0" applyNumberFormat="1" applyFont="1"/>
    <xf numFmtId="0" fontId="31" fillId="0" borderId="0" xfId="0" applyFont="1"/>
    <xf numFmtId="164" fontId="26" fillId="0" borderId="0" xfId="0" applyNumberFormat="1" applyFont="1" applyBorder="1"/>
    <xf numFmtId="164" fontId="27" fillId="0" borderId="0" xfId="0" applyNumberFormat="1" applyFont="1" applyBorder="1"/>
    <xf numFmtId="164" fontId="15" fillId="0" borderId="0" xfId="0" applyNumberFormat="1" applyFont="1"/>
    <xf numFmtId="3" fontId="27" fillId="0" borderId="0" xfId="0" applyNumberFormat="1" applyFont="1"/>
    <xf numFmtId="166" fontId="26" fillId="0" borderId="0" xfId="0" applyNumberFormat="1" applyFont="1" applyBorder="1" applyAlignment="1"/>
    <xf numFmtId="2" fontId="26" fillId="0" borderId="0" xfId="0" applyNumberFormat="1" applyFont="1" applyBorder="1"/>
    <xf numFmtId="4" fontId="30" fillId="0" borderId="0" xfId="0" applyNumberFormat="1" applyFont="1" applyBorder="1"/>
    <xf numFmtId="3" fontId="32" fillId="0" borderId="0" xfId="0" applyNumberFormat="1" applyFont="1" applyBorder="1"/>
    <xf numFmtId="0" fontId="23" fillId="0" borderId="2" xfId="0" applyFont="1" applyBorder="1"/>
    <xf numFmtId="0" fontId="3" fillId="0" borderId="2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10" fontId="25" fillId="0" borderId="0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9" fillId="0" borderId="2" xfId="0" applyNumberFormat="1" applyFont="1" applyBorder="1"/>
    <xf numFmtId="3" fontId="12" fillId="0" borderId="2" xfId="0" applyNumberFormat="1" applyFont="1" applyBorder="1"/>
    <xf numFmtId="165" fontId="9" fillId="0" borderId="2" xfId="0" applyNumberFormat="1" applyFont="1" applyBorder="1"/>
    <xf numFmtId="3" fontId="8" fillId="0" borderId="2" xfId="0" applyNumberFormat="1" applyFont="1" applyBorder="1"/>
    <xf numFmtId="0" fontId="15" fillId="0" borderId="0" xfId="0" applyFont="1" applyBorder="1"/>
    <xf numFmtId="164" fontId="9" fillId="0" borderId="2" xfId="0" applyNumberFormat="1" applyFont="1" applyBorder="1" applyAlignment="1"/>
    <xf numFmtId="3" fontId="9" fillId="0" borderId="2" xfId="0" applyNumberFormat="1" applyFont="1" applyBorder="1" applyAlignment="1"/>
    <xf numFmtId="3" fontId="27" fillId="0" borderId="0" xfId="0" applyNumberFormat="1" applyFont="1" applyBorder="1"/>
    <xf numFmtId="166" fontId="9" fillId="0" borderId="2" xfId="0" applyNumberFormat="1" applyFont="1" applyBorder="1" applyAlignment="1"/>
    <xf numFmtId="2" fontId="9" fillId="0" borderId="2" xfId="0" applyNumberFormat="1" applyFont="1" applyBorder="1"/>
    <xf numFmtId="4" fontId="11" fillId="0" borderId="2" xfId="0" applyNumberFormat="1" applyFont="1" applyBorder="1"/>
    <xf numFmtId="3" fontId="0" fillId="0" borderId="2" xfId="0" applyNumberFormat="1" applyBorder="1"/>
    <xf numFmtId="0" fontId="31" fillId="0" borderId="0" xfId="0" applyFont="1" applyBorder="1"/>
    <xf numFmtId="3" fontId="14" fillId="0" borderId="2" xfId="0" applyNumberFormat="1" applyFont="1" applyBorder="1"/>
    <xf numFmtId="0" fontId="8" fillId="0" borderId="2" xfId="0" applyFont="1" applyBorder="1"/>
    <xf numFmtId="0" fontId="22" fillId="0" borderId="0" xfId="0" applyFont="1" applyBorder="1" applyAlignment="1">
      <alignment horizontal="center"/>
    </xf>
    <xf numFmtId="10" fontId="3" fillId="0" borderId="0" xfId="1" applyNumberFormat="1" applyFont="1" applyBorder="1" applyAlignment="1">
      <alignment horizontal="center"/>
    </xf>
    <xf numFmtId="164" fontId="33" fillId="0" borderId="1" xfId="1" applyNumberFormat="1" applyFont="1" applyBorder="1"/>
    <xf numFmtId="165" fontId="26" fillId="0" borderId="0" xfId="0" applyNumberFormat="1" applyFont="1"/>
    <xf numFmtId="164" fontId="34" fillId="0" borderId="1" xfId="1" applyNumberFormat="1" applyFont="1" applyBorder="1"/>
    <xf numFmtId="165" fontId="27" fillId="0" borderId="0" xfId="0" applyNumberFormat="1" applyFont="1"/>
    <xf numFmtId="164" fontId="35" fillId="0" borderId="1" xfId="1" applyNumberFormat="1" applyFont="1" applyBorder="1"/>
    <xf numFmtId="0" fontId="15" fillId="0" borderId="1" xfId="0" applyFont="1" applyBorder="1"/>
    <xf numFmtId="166" fontId="26" fillId="0" borderId="0" xfId="0" applyNumberFormat="1" applyFont="1" applyAlignment="1"/>
    <xf numFmtId="2" fontId="26" fillId="0" borderId="0" xfId="0" applyNumberFormat="1" applyFont="1"/>
    <xf numFmtId="164" fontId="33" fillId="0" borderId="0" xfId="1" applyNumberFormat="1" applyFont="1" applyBorder="1"/>
    <xf numFmtId="167" fontId="26" fillId="0" borderId="0" xfId="0" applyNumberFormat="1" applyFont="1"/>
    <xf numFmtId="164" fontId="17" fillId="0" borderId="0" xfId="1" applyNumberFormat="1" applyFont="1" applyBorder="1"/>
    <xf numFmtId="167" fontId="9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19" sqref="D19"/>
    </sheetView>
  </sheetViews>
  <sheetFormatPr defaultRowHeight="15" x14ac:dyDescent="0.2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 x14ac:dyDescent="0.25">
      <c r="B1" s="2" t="s">
        <v>0</v>
      </c>
      <c r="H1" s="27"/>
    </row>
    <row r="2" spans="2:19" x14ac:dyDescent="0.25">
      <c r="B2" s="49" t="s">
        <v>24</v>
      </c>
      <c r="D2" s="3" t="s">
        <v>2</v>
      </c>
      <c r="E2" s="5" t="s">
        <v>27</v>
      </c>
      <c r="F2" s="3" t="s">
        <v>2</v>
      </c>
      <c r="G2" s="5" t="s">
        <v>27</v>
      </c>
      <c r="H2" s="28" t="s">
        <v>38</v>
      </c>
      <c r="I2" s="1" t="s">
        <v>39</v>
      </c>
      <c r="J2" s="3"/>
      <c r="K2" s="5"/>
      <c r="L2" s="3"/>
      <c r="M2" s="5"/>
      <c r="N2" s="3"/>
      <c r="Q2" s="3"/>
      <c r="R2" s="5"/>
      <c r="S2" s="1"/>
    </row>
    <row r="3" spans="2:19" x14ac:dyDescent="0.25">
      <c r="B3" s="51" t="s">
        <v>1</v>
      </c>
      <c r="D3" s="4" t="s">
        <v>33</v>
      </c>
      <c r="E3" s="25" t="s">
        <v>28</v>
      </c>
      <c r="F3" s="4" t="s">
        <v>3</v>
      </c>
      <c r="G3" s="6" t="s">
        <v>28</v>
      </c>
      <c r="H3" s="29" t="s">
        <v>40</v>
      </c>
      <c r="I3" s="26" t="s">
        <v>41</v>
      </c>
      <c r="J3" s="4"/>
      <c r="K3" s="6"/>
      <c r="L3" s="4"/>
      <c r="M3" s="6"/>
      <c r="N3" s="4"/>
      <c r="Q3" s="4"/>
      <c r="R3" s="6"/>
    </row>
    <row r="4" spans="2:19" x14ac:dyDescent="0.25">
      <c r="B4" s="52">
        <v>9403</v>
      </c>
      <c r="D4" s="24" t="s">
        <v>29</v>
      </c>
      <c r="E4" s="3" t="s">
        <v>30</v>
      </c>
      <c r="F4" s="24" t="s">
        <v>29</v>
      </c>
      <c r="G4" s="3" t="s">
        <v>30</v>
      </c>
      <c r="H4" s="27"/>
    </row>
    <row r="5" spans="2:19" x14ac:dyDescent="0.25">
      <c r="B5" s="10" t="s">
        <v>4</v>
      </c>
      <c r="C5" s="18"/>
      <c r="D5" s="8">
        <f>+'2013'!Q5</f>
        <v>384.97152</v>
      </c>
      <c r="E5" s="65">
        <f>+D5/$D$5</f>
        <v>1</v>
      </c>
      <c r="F5" s="13">
        <f>+'2014'!Q5</f>
        <v>832.01</v>
      </c>
      <c r="G5" s="65">
        <f>+F5/$F$5</f>
        <v>1</v>
      </c>
      <c r="H5" s="30">
        <f t="shared" ref="H5:H23" si="0">+F5/D5</f>
        <v>2.1612248095651334</v>
      </c>
      <c r="I5" s="17">
        <f>+F5-D5</f>
        <v>447.03847999999999</v>
      </c>
      <c r="J5" s="18"/>
      <c r="K5" s="18"/>
    </row>
    <row r="6" spans="2:19" x14ac:dyDescent="0.25">
      <c r="B6" s="7" t="s">
        <v>5</v>
      </c>
      <c r="C6" s="18"/>
      <c r="D6" s="11">
        <f>+'2013'!Q6</f>
        <v>190.94475</v>
      </c>
      <c r="E6" s="66">
        <f>+D6/$D$5</f>
        <v>0.49599708051130642</v>
      </c>
      <c r="F6" s="15">
        <f>+'2014'!Q6</f>
        <v>517.00296000000003</v>
      </c>
      <c r="G6" s="66">
        <f>+F6/$F$5</f>
        <v>0.62139031982788673</v>
      </c>
      <c r="H6" s="40">
        <f t="shared" si="0"/>
        <v>2.7076050009230421</v>
      </c>
      <c r="I6" s="43">
        <f>+F6-D6</f>
        <v>326.05821000000003</v>
      </c>
      <c r="J6" s="18"/>
      <c r="K6" s="18"/>
    </row>
    <row r="7" spans="2:19" x14ac:dyDescent="0.25">
      <c r="B7" s="10" t="s">
        <v>8</v>
      </c>
      <c r="C7" s="18"/>
      <c r="D7" s="8">
        <f>+D5-D6</f>
        <v>194.02677</v>
      </c>
      <c r="E7" s="67">
        <f>+D7/$D$5</f>
        <v>0.50400291948869358</v>
      </c>
      <c r="F7" s="8">
        <f>+F5-F6</f>
        <v>315.00703999999996</v>
      </c>
      <c r="G7" s="67">
        <f>+F7/$F$5</f>
        <v>0.37860968017211327</v>
      </c>
      <c r="H7" s="42">
        <f t="shared" si="0"/>
        <v>1.6235235993466262</v>
      </c>
      <c r="I7" s="17">
        <f>+F7-D7</f>
        <v>120.98026999999996</v>
      </c>
      <c r="J7" s="18"/>
      <c r="K7" s="18"/>
    </row>
    <row r="8" spans="2:19" x14ac:dyDescent="0.25">
      <c r="B8" s="7" t="s">
        <v>6</v>
      </c>
      <c r="C8" s="18"/>
      <c r="D8" s="11">
        <f>+'2013'!Q8</f>
        <v>1678.9188100000001</v>
      </c>
      <c r="E8" s="66">
        <f>+D8/$D$5</f>
        <v>4.3611506897964816</v>
      </c>
      <c r="F8" s="15">
        <f>+'2014'!Q8</f>
        <v>1943.0303699999999</v>
      </c>
      <c r="G8" s="66">
        <f>+F8/$F$5</f>
        <v>2.3353449718152426</v>
      </c>
      <c r="H8" s="40">
        <f t="shared" si="0"/>
        <v>1.1573105015125775</v>
      </c>
      <c r="I8" s="43">
        <f>+F8-D8</f>
        <v>264.11155999999983</v>
      </c>
      <c r="J8" s="18"/>
      <c r="K8" s="18"/>
    </row>
    <row r="9" spans="2:19" x14ac:dyDescent="0.25">
      <c r="B9" s="20" t="s">
        <v>16</v>
      </c>
      <c r="C9" s="18"/>
      <c r="D9" s="16">
        <f>+D5-D6-D8</f>
        <v>-1484.8920400000002</v>
      </c>
      <c r="E9" s="65">
        <f>+D9/$D$5</f>
        <v>-3.8571477703077885</v>
      </c>
      <c r="F9" s="16">
        <f>+F5-F6-F8</f>
        <v>-1628.02333</v>
      </c>
      <c r="G9" s="65">
        <f>+F9/$F$5</f>
        <v>-1.9567352916431293</v>
      </c>
      <c r="H9" s="42">
        <f t="shared" si="0"/>
        <v>1.0963917147808266</v>
      </c>
      <c r="I9" s="17">
        <f>+F9-D9</f>
        <v>-143.13128999999981</v>
      </c>
      <c r="J9" s="18"/>
      <c r="K9" s="18"/>
    </row>
    <row r="10" spans="2:19" ht="7.5" customHeight="1" x14ac:dyDescent="0.25">
      <c r="B10" s="18"/>
      <c r="C10" s="18"/>
      <c r="D10" s="35"/>
      <c r="E10" s="68"/>
      <c r="F10" s="31"/>
      <c r="G10" s="68"/>
      <c r="H10" s="41"/>
      <c r="I10" s="18"/>
      <c r="J10" s="18"/>
      <c r="K10" s="18"/>
    </row>
    <row r="11" spans="2:19" x14ac:dyDescent="0.25">
      <c r="B11" s="19" t="s">
        <v>20</v>
      </c>
      <c r="C11" s="18"/>
      <c r="D11" s="35">
        <f>+'2013'!Q11</f>
        <v>3</v>
      </c>
      <c r="E11" s="68"/>
      <c r="F11" s="31">
        <f>+'2014'!Q11</f>
        <v>3</v>
      </c>
      <c r="G11" s="68"/>
      <c r="H11" s="40">
        <f t="shared" si="0"/>
        <v>1</v>
      </c>
      <c r="I11" s="43">
        <f t="shared" ref="I11:I16" si="1">+F11-D11</f>
        <v>0</v>
      </c>
      <c r="J11" s="18"/>
      <c r="K11" s="18"/>
    </row>
    <row r="12" spans="2:19" x14ac:dyDescent="0.25">
      <c r="B12" s="19" t="s">
        <v>17</v>
      </c>
      <c r="C12" s="18"/>
      <c r="D12" s="35">
        <f>+'2013'!Q12</f>
        <v>1014.9258500000001</v>
      </c>
      <c r="E12" s="68"/>
      <c r="F12" s="15">
        <f>+'2014'!Q12</f>
        <v>1229.04</v>
      </c>
      <c r="G12" s="68"/>
      <c r="H12" s="40">
        <f t="shared" si="0"/>
        <v>1.2109653133773268</v>
      </c>
      <c r="I12" s="43">
        <f t="shared" si="1"/>
        <v>214.11414999999988</v>
      </c>
      <c r="J12" s="18"/>
      <c r="K12" s="18"/>
    </row>
    <row r="13" spans="2:19" x14ac:dyDescent="0.25">
      <c r="B13" s="20" t="s">
        <v>22</v>
      </c>
      <c r="C13" s="18"/>
      <c r="D13" s="36">
        <f>+D12/D5</f>
        <v>2.6363660615725548</v>
      </c>
      <c r="E13" s="68"/>
      <c r="F13" s="36">
        <f>+F12/F5</f>
        <v>1.4771937837285609</v>
      </c>
      <c r="G13" s="68"/>
      <c r="H13" s="30">
        <f t="shared" si="0"/>
        <v>0.56031436804623247</v>
      </c>
      <c r="I13" s="14">
        <f t="shared" si="1"/>
        <v>-1.1591722778439939</v>
      </c>
      <c r="J13" s="18"/>
      <c r="K13" s="18"/>
    </row>
    <row r="14" spans="2:19" x14ac:dyDescent="0.25">
      <c r="B14" s="20" t="s">
        <v>18</v>
      </c>
      <c r="C14" s="18"/>
      <c r="D14" s="8">
        <f>+D5/D11</f>
        <v>128.32383999999999</v>
      </c>
      <c r="E14" s="68"/>
      <c r="F14" s="8">
        <f>+F5/F11</f>
        <v>277.33666666666664</v>
      </c>
      <c r="G14" s="68"/>
      <c r="H14" s="30">
        <f t="shared" si="0"/>
        <v>2.1612248095651334</v>
      </c>
      <c r="I14" s="17">
        <f t="shared" si="1"/>
        <v>149.01282666666665</v>
      </c>
      <c r="J14" s="18"/>
      <c r="K14" s="18"/>
    </row>
    <row r="15" spans="2:19" x14ac:dyDescent="0.25">
      <c r="B15" s="10" t="s">
        <v>47</v>
      </c>
      <c r="C15" s="18"/>
      <c r="D15" s="8">
        <f>+D12/D11</f>
        <v>338.30861666666669</v>
      </c>
      <c r="E15" s="68"/>
      <c r="F15" s="8">
        <f>+F12/F11</f>
        <v>409.68</v>
      </c>
      <c r="G15" s="68"/>
      <c r="H15" s="30">
        <f t="shared" si="0"/>
        <v>1.210965313377327</v>
      </c>
      <c r="I15" s="17">
        <f t="shared" si="1"/>
        <v>71.371383333333313</v>
      </c>
      <c r="J15" s="18"/>
      <c r="K15" s="18"/>
    </row>
    <row r="16" spans="2:19" x14ac:dyDescent="0.25">
      <c r="B16" s="20" t="s">
        <v>23</v>
      </c>
      <c r="C16" s="18"/>
      <c r="D16" s="36">
        <f>+D12/D7</f>
        <v>5.2308547423636442</v>
      </c>
      <c r="E16" s="68"/>
      <c r="F16" s="36">
        <f>+F12/F7</f>
        <v>3.9016270874454113</v>
      </c>
      <c r="G16" s="68"/>
      <c r="H16" s="30">
        <f t="shared" si="0"/>
        <v>0.74588710251250445</v>
      </c>
      <c r="I16" s="14">
        <f t="shared" si="1"/>
        <v>-1.3292276549182329</v>
      </c>
      <c r="J16" s="18"/>
      <c r="K16" s="18"/>
    </row>
    <row r="17" spans="2:11" ht="7.5" customHeight="1" x14ac:dyDescent="0.25">
      <c r="B17" s="7"/>
      <c r="C17" s="18"/>
      <c r="D17" s="35"/>
      <c r="E17" s="68"/>
      <c r="F17" s="31"/>
      <c r="G17" s="68"/>
      <c r="H17" s="41"/>
      <c r="I17" s="18"/>
      <c r="J17" s="18"/>
      <c r="K17" s="18"/>
    </row>
    <row r="18" spans="2:11" x14ac:dyDescent="0.25">
      <c r="B18" s="19" t="s">
        <v>26</v>
      </c>
      <c r="C18" s="18"/>
      <c r="D18" s="11">
        <f>+'2013'!Q18</f>
        <v>23793</v>
      </c>
      <c r="E18" s="69">
        <f>+'2013'!R18</f>
        <v>23793</v>
      </c>
      <c r="F18" s="15">
        <f>+'2014'!Q18</f>
        <v>88016</v>
      </c>
      <c r="G18" s="78">
        <f>+'2014'!R18</f>
        <v>88016</v>
      </c>
      <c r="H18" s="40">
        <f t="shared" si="0"/>
        <v>3.6992392720548062</v>
      </c>
      <c r="I18" s="43">
        <f t="shared" ref="I18:I23" si="2">+F18-D18</f>
        <v>64223</v>
      </c>
      <c r="J18" s="18"/>
      <c r="K18" s="18"/>
    </row>
    <row r="19" spans="2:11" x14ac:dyDescent="0.25">
      <c r="B19" s="19" t="s">
        <v>19</v>
      </c>
      <c r="C19" s="18"/>
      <c r="D19" s="11">
        <f>+'2013'!Q19</f>
        <v>4853</v>
      </c>
      <c r="E19" s="70">
        <f>+'2013'!R19</f>
        <v>4853</v>
      </c>
      <c r="F19" s="15">
        <f>+'2014'!Q19</f>
        <v>6156.83</v>
      </c>
      <c r="G19" s="78">
        <f>+'2014'!R19</f>
        <v>6156.83</v>
      </c>
      <c r="H19" s="40">
        <f t="shared" si="0"/>
        <v>1.268664743457655</v>
      </c>
      <c r="I19" s="43">
        <f t="shared" si="2"/>
        <v>1303.83</v>
      </c>
      <c r="J19" s="18"/>
      <c r="K19" s="18"/>
    </row>
    <row r="20" spans="2:11" x14ac:dyDescent="0.25">
      <c r="B20" s="19" t="s">
        <v>31</v>
      </c>
      <c r="C20" s="18"/>
      <c r="D20" s="11">
        <f>+'2013'!Q20</f>
        <v>96.614019999999996</v>
      </c>
      <c r="E20" s="70">
        <f>+'2013'!R20</f>
        <v>176.83799999999999</v>
      </c>
      <c r="F20" s="15">
        <f>+'2014'!Q20</f>
        <v>233.82157000000001</v>
      </c>
      <c r="G20" s="78">
        <f>+'2014'!R20</f>
        <v>226.18100000000001</v>
      </c>
      <c r="H20" s="40">
        <f t="shared" si="0"/>
        <v>2.4201618978280792</v>
      </c>
      <c r="I20" s="43">
        <f t="shared" si="2"/>
        <v>137.20755000000003</v>
      </c>
      <c r="J20" s="18"/>
      <c r="K20" s="18"/>
    </row>
    <row r="21" spans="2:11" x14ac:dyDescent="0.25">
      <c r="B21" s="20" t="s">
        <v>21</v>
      </c>
      <c r="C21" s="18"/>
      <c r="D21" s="53">
        <f>+D20/D19*1000</f>
        <v>19.908102204821759</v>
      </c>
      <c r="E21" s="71">
        <f>+E20/E19*1000</f>
        <v>36.438903770863384</v>
      </c>
      <c r="F21" s="53">
        <f>+F20/F19*1000</f>
        <v>37.977590740689614</v>
      </c>
      <c r="G21" s="112">
        <f>+G20/G19*1000</f>
        <v>36.736599841152028</v>
      </c>
      <c r="H21" s="30">
        <f t="shared" si="0"/>
        <v>1.9076449553032437</v>
      </c>
      <c r="I21" s="17">
        <f t="shared" si="2"/>
        <v>18.069488535867855</v>
      </c>
      <c r="J21" s="116">
        <f>+G21/E21</f>
        <v>1.0081697317833882</v>
      </c>
      <c r="K21" s="117">
        <f>+G21-E21</f>
        <v>0.29769607028864442</v>
      </c>
    </row>
    <row r="22" spans="2:11" x14ac:dyDescent="0.25">
      <c r="B22" s="20" t="s">
        <v>25</v>
      </c>
      <c r="C22" s="18"/>
      <c r="D22" s="55">
        <f>+D19/D18</f>
        <v>0.20396755348211659</v>
      </c>
      <c r="E22" s="72"/>
      <c r="F22" s="64">
        <f>+F19/F18</f>
        <v>6.9951258862025079E-2</v>
      </c>
      <c r="G22" s="113"/>
      <c r="H22" s="30">
        <f t="shared" si="0"/>
        <v>0.34295287494419174</v>
      </c>
      <c r="I22" s="17">
        <f t="shared" si="2"/>
        <v>-0.13401629462009151</v>
      </c>
      <c r="J22" s="18"/>
      <c r="K22" s="18"/>
    </row>
    <row r="23" spans="2:11" x14ac:dyDescent="0.25">
      <c r="B23" s="10" t="s">
        <v>32</v>
      </c>
      <c r="C23" s="10"/>
      <c r="D23" s="57">
        <f>+D20*1000/(D18*D21)*100</f>
        <v>20.396755348211659</v>
      </c>
      <c r="E23" s="73"/>
      <c r="F23" s="57">
        <f>+F20/(F18*F21)*1000*100</f>
        <v>6.9951258862025076</v>
      </c>
      <c r="G23" s="73"/>
      <c r="H23" s="30">
        <f t="shared" si="0"/>
        <v>0.34295287494419174</v>
      </c>
      <c r="I23" s="17">
        <f t="shared" si="2"/>
        <v>-13.401629462009151</v>
      </c>
      <c r="J23" s="18"/>
      <c r="K23" s="18"/>
    </row>
    <row r="24" spans="2:11" ht="7.5" customHeight="1" x14ac:dyDescent="0.25">
      <c r="B24" s="18"/>
      <c r="E24" s="74"/>
      <c r="F24" s="12"/>
      <c r="G24" s="74"/>
      <c r="H24" s="41"/>
      <c r="I24" s="18"/>
    </row>
    <row r="25" spans="2:11" x14ac:dyDescent="0.25">
      <c r="B25" s="22" t="s">
        <v>45</v>
      </c>
      <c r="C25" s="21"/>
      <c r="D25" s="23">
        <f>+D8/(1-D6/D5)</f>
        <v>3331.1688188299545</v>
      </c>
      <c r="E25" s="74"/>
      <c r="F25" s="23">
        <f>+F8/(1-F6/F5)</f>
        <v>5132.0145040050538</v>
      </c>
      <c r="G25" s="74"/>
      <c r="H25" s="44">
        <f>+F25/D25</f>
        <v>1.5406047495988604</v>
      </c>
      <c r="I25" s="23">
        <f>+F25-D25</f>
        <v>1800.8456851750993</v>
      </c>
    </row>
    <row r="26" spans="2:11" x14ac:dyDescent="0.25">
      <c r="F26" s="12"/>
    </row>
    <row r="27" spans="2:11" x14ac:dyDescent="0.25">
      <c r="F27" s="12"/>
    </row>
    <row r="28" spans="2:11" x14ac:dyDescent="0.25">
      <c r="F28" s="12"/>
    </row>
    <row r="29" spans="2:11" x14ac:dyDescent="0.25">
      <c r="F29" s="12"/>
    </row>
    <row r="30" spans="2:11" x14ac:dyDescent="0.25">
      <c r="F30" s="12"/>
    </row>
    <row r="31" spans="2:11" x14ac:dyDescent="0.25">
      <c r="F31" s="12"/>
    </row>
    <row r="32" spans="2:11" x14ac:dyDescent="0.25">
      <c r="F32" s="12"/>
    </row>
    <row r="33" spans="6:6" x14ac:dyDescent="0.25">
      <c r="F33" s="12"/>
    </row>
    <row r="34" spans="6:6" x14ac:dyDescent="0.25">
      <c r="F34" s="12"/>
    </row>
    <row r="35" spans="6:6" x14ac:dyDescent="0.25">
      <c r="F35" s="12"/>
    </row>
    <row r="36" spans="6:6" x14ac:dyDescent="0.25">
      <c r="F36" s="12"/>
    </row>
    <row r="37" spans="6:6" x14ac:dyDescent="0.25">
      <c r="F37" s="12"/>
    </row>
    <row r="38" spans="6:6" x14ac:dyDescent="0.25">
      <c r="F38" s="12"/>
    </row>
    <row r="39" spans="6:6" x14ac:dyDescent="0.25">
      <c r="F39" s="12"/>
    </row>
    <row r="40" spans="6:6" x14ac:dyDescent="0.25">
      <c r="F40" s="12"/>
    </row>
    <row r="41" spans="6:6" x14ac:dyDescent="0.25">
      <c r="F41" s="12"/>
    </row>
    <row r="42" spans="6:6" x14ac:dyDescent="0.25">
      <c r="F42" s="12"/>
    </row>
    <row r="43" spans="6:6" x14ac:dyDescent="0.25">
      <c r="F43" s="12"/>
    </row>
    <row r="44" spans="6:6" x14ac:dyDescent="0.25">
      <c r="F44" s="12"/>
    </row>
    <row r="45" spans="6:6" x14ac:dyDescent="0.25">
      <c r="F45" s="12"/>
    </row>
    <row r="46" spans="6:6" x14ac:dyDescent="0.25">
      <c r="F46" s="12"/>
    </row>
    <row r="47" spans="6:6" x14ac:dyDescent="0.25">
      <c r="F47" s="12"/>
    </row>
    <row r="48" spans="6:6" x14ac:dyDescent="0.25">
      <c r="F48" s="12"/>
    </row>
    <row r="49" spans="6:6" x14ac:dyDescent="0.25">
      <c r="F49" s="12"/>
    </row>
    <row r="50" spans="6:6" x14ac:dyDescent="0.25">
      <c r="F50" s="12"/>
    </row>
    <row r="51" spans="6:6" x14ac:dyDescent="0.25">
      <c r="F51" s="12"/>
    </row>
    <row r="52" spans="6:6" x14ac:dyDescent="0.25">
      <c r="F52" s="12"/>
    </row>
    <row r="53" spans="6:6" x14ac:dyDescent="0.25">
      <c r="F53" s="12"/>
    </row>
    <row r="54" spans="6:6" x14ac:dyDescent="0.25">
      <c r="F54" s="12"/>
    </row>
    <row r="55" spans="6:6" x14ac:dyDescent="0.25">
      <c r="F55" s="12"/>
    </row>
    <row r="56" spans="6:6" x14ac:dyDescent="0.25">
      <c r="F56" s="12"/>
    </row>
    <row r="57" spans="6:6" x14ac:dyDescent="0.25">
      <c r="F57" s="12"/>
    </row>
    <row r="58" spans="6:6" x14ac:dyDescent="0.25">
      <c r="F58" s="12"/>
    </row>
    <row r="59" spans="6:6" x14ac:dyDescent="0.25">
      <c r="F59" s="12"/>
    </row>
    <row r="60" spans="6:6" x14ac:dyDescent="0.25">
      <c r="F60" s="12"/>
    </row>
    <row r="61" spans="6:6" x14ac:dyDescent="0.25">
      <c r="F61" s="12"/>
    </row>
    <row r="62" spans="6:6" x14ac:dyDescent="0.25">
      <c r="F62" s="12"/>
    </row>
    <row r="63" spans="6:6" x14ac:dyDescent="0.25">
      <c r="F63" s="12"/>
    </row>
    <row r="64" spans="6:6" x14ac:dyDescent="0.25">
      <c r="F64" s="12"/>
    </row>
    <row r="65" spans="6:6" x14ac:dyDescent="0.25">
      <c r="F65" s="12"/>
    </row>
    <row r="66" spans="6:6" x14ac:dyDescent="0.25">
      <c r="F66" s="12"/>
    </row>
    <row r="67" spans="6:6" x14ac:dyDescent="0.25">
      <c r="F67" s="12"/>
    </row>
    <row r="68" spans="6:6" x14ac:dyDescent="0.25">
      <c r="F68" s="12"/>
    </row>
    <row r="69" spans="6:6" x14ac:dyDescent="0.25">
      <c r="F69" s="12"/>
    </row>
    <row r="70" spans="6:6" x14ac:dyDescent="0.25">
      <c r="F70" s="12"/>
    </row>
    <row r="71" spans="6:6" x14ac:dyDescent="0.25">
      <c r="F71" s="12"/>
    </row>
    <row r="72" spans="6:6" x14ac:dyDescent="0.25">
      <c r="F72" s="12"/>
    </row>
    <row r="73" spans="6:6" x14ac:dyDescent="0.25">
      <c r="F73" s="12"/>
    </row>
    <row r="74" spans="6:6" x14ac:dyDescent="0.25">
      <c r="F74" s="12"/>
    </row>
    <row r="75" spans="6:6" x14ac:dyDescent="0.25">
      <c r="F75" s="12"/>
    </row>
    <row r="76" spans="6:6" x14ac:dyDescent="0.25">
      <c r="F76" s="12"/>
    </row>
    <row r="77" spans="6:6" x14ac:dyDescent="0.25">
      <c r="F77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RowHeight="15" x14ac:dyDescent="0.2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 x14ac:dyDescent="0.25">
      <c r="B1" s="2" t="s">
        <v>0</v>
      </c>
      <c r="H1" s="27"/>
    </row>
    <row r="2" spans="2:19" x14ac:dyDescent="0.25">
      <c r="B2" s="49" t="s">
        <v>24</v>
      </c>
      <c r="D2" s="3" t="s">
        <v>2</v>
      </c>
      <c r="E2" s="5" t="s">
        <v>27</v>
      </c>
      <c r="F2" s="3" t="s">
        <v>2</v>
      </c>
      <c r="G2" s="5" t="s">
        <v>27</v>
      </c>
      <c r="H2" s="28" t="s">
        <v>38</v>
      </c>
      <c r="I2" s="1" t="s">
        <v>39</v>
      </c>
      <c r="J2" s="3"/>
      <c r="K2" s="5"/>
      <c r="L2" s="3"/>
      <c r="M2" s="5"/>
      <c r="N2" s="3"/>
      <c r="Q2" s="3"/>
      <c r="R2" s="5"/>
      <c r="S2" s="1"/>
    </row>
    <row r="3" spans="2:19" x14ac:dyDescent="0.25">
      <c r="B3" s="51" t="s">
        <v>1</v>
      </c>
      <c r="D3" s="4" t="s">
        <v>43</v>
      </c>
      <c r="E3" s="25" t="s">
        <v>28</v>
      </c>
      <c r="F3" s="4" t="s">
        <v>44</v>
      </c>
      <c r="G3" s="6" t="s">
        <v>28</v>
      </c>
      <c r="H3" s="29" t="s">
        <v>40</v>
      </c>
      <c r="I3" s="26" t="s">
        <v>41</v>
      </c>
      <c r="J3" s="4"/>
      <c r="K3" s="6"/>
      <c r="L3" s="4"/>
      <c r="M3" s="6"/>
      <c r="N3" s="4"/>
      <c r="Q3" s="4"/>
      <c r="R3" s="6"/>
    </row>
    <row r="4" spans="2:19" x14ac:dyDescent="0.25">
      <c r="B4" s="52">
        <v>9403</v>
      </c>
      <c r="D4" s="24" t="s">
        <v>29</v>
      </c>
      <c r="E4" s="3" t="s">
        <v>30</v>
      </c>
      <c r="F4" s="24" t="s">
        <v>29</v>
      </c>
      <c r="G4" s="3" t="s">
        <v>30</v>
      </c>
      <c r="H4" s="27"/>
    </row>
    <row r="5" spans="2:19" x14ac:dyDescent="0.25">
      <c r="B5" s="10" t="s">
        <v>4</v>
      </c>
      <c r="C5" s="18"/>
      <c r="D5" s="8">
        <f>+'2013'!F5</f>
        <v>48.12144</v>
      </c>
      <c r="E5" s="65">
        <f>+D5/$D$5</f>
        <v>1</v>
      </c>
      <c r="F5" s="13">
        <f>+'2014'!F5</f>
        <v>104.00125</v>
      </c>
      <c r="G5" s="65">
        <f>+F5/$F$5</f>
        <v>1</v>
      </c>
      <c r="H5" s="106">
        <f t="shared" ref="H5:H23" si="0">+F5/D5</f>
        <v>2.1612248095651334</v>
      </c>
      <c r="I5" s="107">
        <f>+F5-D5</f>
        <v>55.879809999999999</v>
      </c>
      <c r="J5" s="68"/>
      <c r="K5" s="68"/>
    </row>
    <row r="6" spans="2:19" x14ac:dyDescent="0.25">
      <c r="B6" s="7" t="s">
        <v>5</v>
      </c>
      <c r="C6" s="18"/>
      <c r="D6" s="11">
        <f>+'2013'!F6</f>
        <v>23.86809375</v>
      </c>
      <c r="E6" s="66">
        <f>+D6/$D$5</f>
        <v>0.49599708051130642</v>
      </c>
      <c r="F6" s="15">
        <f>+'2014'!F6</f>
        <v>64.625370000000004</v>
      </c>
      <c r="G6" s="66">
        <f>+F6/$F$5</f>
        <v>0.62139031982788673</v>
      </c>
      <c r="H6" s="108">
        <f t="shared" si="0"/>
        <v>2.7076050009230421</v>
      </c>
      <c r="I6" s="109">
        <f>+F6-D6</f>
        <v>40.757276250000004</v>
      </c>
      <c r="J6" s="68"/>
      <c r="K6" s="68"/>
    </row>
    <row r="7" spans="2:19" x14ac:dyDescent="0.25">
      <c r="B7" s="10" t="s">
        <v>8</v>
      </c>
      <c r="C7" s="18"/>
      <c r="D7" s="8">
        <f>+'2013'!F7</f>
        <v>24.25334625</v>
      </c>
      <c r="E7" s="67">
        <f>+D7/$D$5</f>
        <v>0.50400291948869358</v>
      </c>
      <c r="F7" s="8">
        <f>+'2014'!F7</f>
        <v>39.375879999999995</v>
      </c>
      <c r="G7" s="67">
        <f>+F7/$F$5</f>
        <v>0.37860968017211327</v>
      </c>
      <c r="H7" s="110">
        <f t="shared" si="0"/>
        <v>1.6235235993466262</v>
      </c>
      <c r="I7" s="107">
        <f>+F7-D7</f>
        <v>15.122533749999995</v>
      </c>
      <c r="J7" s="68"/>
      <c r="K7" s="68"/>
    </row>
    <row r="8" spans="2:19" x14ac:dyDescent="0.25">
      <c r="B8" s="7" t="s">
        <v>6</v>
      </c>
      <c r="C8" s="18"/>
      <c r="D8" s="11">
        <f>+'2013'!F8</f>
        <v>209.86485125000002</v>
      </c>
      <c r="E8" s="66">
        <f>+D8/$D$5</f>
        <v>4.3611506897964816</v>
      </c>
      <c r="F8" s="15">
        <f>+'2014'!F8</f>
        <v>242.87879624999999</v>
      </c>
      <c r="G8" s="66">
        <f>+F8/$F$5</f>
        <v>2.3353449718152426</v>
      </c>
      <c r="H8" s="108">
        <f t="shared" si="0"/>
        <v>1.1573105015125775</v>
      </c>
      <c r="I8" s="109">
        <f>+F8-D8</f>
        <v>33.013944999999978</v>
      </c>
      <c r="J8" s="68"/>
      <c r="K8" s="68"/>
    </row>
    <row r="9" spans="2:19" x14ac:dyDescent="0.25">
      <c r="B9" s="20" t="s">
        <v>16</v>
      </c>
      <c r="C9" s="18"/>
      <c r="D9" s="16">
        <f>+D5-D6-D8</f>
        <v>-185.61150500000002</v>
      </c>
      <c r="E9" s="65">
        <f>+D9/$D$5</f>
        <v>-3.8571477703077885</v>
      </c>
      <c r="F9" s="16">
        <f>+F5-F6-F8</f>
        <v>-203.50291625</v>
      </c>
      <c r="G9" s="65">
        <f>+F9/$F$5</f>
        <v>-1.9567352916431293</v>
      </c>
      <c r="H9" s="110">
        <f t="shared" si="0"/>
        <v>1.0963917147808266</v>
      </c>
      <c r="I9" s="107">
        <f>+F9-D9</f>
        <v>-17.891411249999976</v>
      </c>
      <c r="J9" s="68"/>
      <c r="K9" s="68"/>
    </row>
    <row r="10" spans="2:19" ht="7.5" customHeight="1" x14ac:dyDescent="0.25">
      <c r="B10" s="18"/>
      <c r="C10" s="18"/>
      <c r="D10" s="35"/>
      <c r="E10" s="68"/>
      <c r="F10" s="31"/>
      <c r="G10" s="68"/>
      <c r="H10" s="111"/>
      <c r="I10" s="68"/>
      <c r="J10" s="68"/>
      <c r="K10" s="68"/>
    </row>
    <row r="11" spans="2:19" x14ac:dyDescent="0.25">
      <c r="B11" s="19" t="s">
        <v>20</v>
      </c>
      <c r="C11" s="18"/>
      <c r="D11" s="35">
        <f>+'2013'!F11</f>
        <v>3</v>
      </c>
      <c r="E11" s="68"/>
      <c r="F11" s="31">
        <f>+'2014'!F11</f>
        <v>3</v>
      </c>
      <c r="G11" s="68"/>
      <c r="H11" s="108">
        <f t="shared" si="0"/>
        <v>1</v>
      </c>
      <c r="I11" s="109">
        <f t="shared" ref="I11:I16" si="1">+F11-D11</f>
        <v>0</v>
      </c>
      <c r="J11" s="68"/>
      <c r="K11" s="68"/>
    </row>
    <row r="12" spans="2:19" x14ac:dyDescent="0.25">
      <c r="B12" s="19" t="s">
        <v>17</v>
      </c>
      <c r="C12" s="18"/>
      <c r="D12" s="35">
        <f>+'2013'!F12</f>
        <v>126.86573125000001</v>
      </c>
      <c r="E12" s="68"/>
      <c r="F12" s="15">
        <f>+'2014'!F12</f>
        <v>153.63</v>
      </c>
      <c r="G12" s="68"/>
      <c r="H12" s="108">
        <f t="shared" si="0"/>
        <v>1.2109653133773268</v>
      </c>
      <c r="I12" s="109">
        <f t="shared" si="1"/>
        <v>26.764268749999985</v>
      </c>
      <c r="J12" s="68"/>
      <c r="K12" s="68"/>
    </row>
    <row r="13" spans="2:19" x14ac:dyDescent="0.25">
      <c r="B13" s="20" t="s">
        <v>22</v>
      </c>
      <c r="C13" s="18"/>
      <c r="D13" s="36">
        <f>+D12/D5</f>
        <v>2.6363660615725548</v>
      </c>
      <c r="E13" s="68"/>
      <c r="F13" s="36">
        <f>+F12/F5</f>
        <v>1.4771937837285609</v>
      </c>
      <c r="G13" s="68"/>
      <c r="H13" s="106">
        <f t="shared" si="0"/>
        <v>0.56031436804623247</v>
      </c>
      <c r="I13" s="65">
        <f t="shared" si="1"/>
        <v>-1.1591722778439939</v>
      </c>
      <c r="J13" s="68"/>
      <c r="K13" s="68"/>
    </row>
    <row r="14" spans="2:19" x14ac:dyDescent="0.25">
      <c r="B14" s="20" t="s">
        <v>18</v>
      </c>
      <c r="C14" s="18"/>
      <c r="D14" s="8">
        <f>+D5/D11</f>
        <v>16.040479999999999</v>
      </c>
      <c r="E14" s="68"/>
      <c r="F14" s="8">
        <f>+F5/F11</f>
        <v>34.667083333333331</v>
      </c>
      <c r="G14" s="68"/>
      <c r="H14" s="106">
        <f t="shared" si="0"/>
        <v>2.1612248095651334</v>
      </c>
      <c r="I14" s="107">
        <f t="shared" si="1"/>
        <v>18.626603333333332</v>
      </c>
      <c r="J14" s="68"/>
      <c r="K14" s="68"/>
    </row>
    <row r="15" spans="2:19" x14ac:dyDescent="0.25">
      <c r="B15" s="10" t="s">
        <v>47</v>
      </c>
      <c r="C15" s="18"/>
      <c r="D15" s="8">
        <f>+D12/D11</f>
        <v>42.288577083333337</v>
      </c>
      <c r="E15" s="68"/>
      <c r="F15" s="8">
        <f>+F12/F11</f>
        <v>51.21</v>
      </c>
      <c r="G15" s="68"/>
      <c r="H15" s="106">
        <f t="shared" si="0"/>
        <v>1.210965313377327</v>
      </c>
      <c r="I15" s="107">
        <f t="shared" si="1"/>
        <v>8.9214229166666641</v>
      </c>
      <c r="J15" s="68"/>
      <c r="K15" s="68"/>
    </row>
    <row r="16" spans="2:19" x14ac:dyDescent="0.25">
      <c r="B16" s="20" t="s">
        <v>23</v>
      </c>
      <c r="C16" s="18"/>
      <c r="D16" s="36">
        <f>+D12/D7</f>
        <v>5.2308547423636442</v>
      </c>
      <c r="E16" s="68"/>
      <c r="F16" s="36">
        <f>+F12/F7</f>
        <v>3.9016270874454113</v>
      </c>
      <c r="G16" s="68"/>
      <c r="H16" s="106">
        <f t="shared" si="0"/>
        <v>0.74588710251250445</v>
      </c>
      <c r="I16" s="65">
        <f t="shared" si="1"/>
        <v>-1.3292276549182329</v>
      </c>
      <c r="J16" s="68"/>
      <c r="K16" s="68"/>
    </row>
    <row r="17" spans="2:11" ht="7.5" customHeight="1" x14ac:dyDescent="0.25">
      <c r="B17" s="7"/>
      <c r="C17" s="18"/>
      <c r="D17" s="35"/>
      <c r="E17" s="68"/>
      <c r="F17" s="31"/>
      <c r="G17" s="68"/>
      <c r="H17" s="111"/>
      <c r="I17" s="68"/>
      <c r="J17" s="68"/>
      <c r="K17" s="68"/>
    </row>
    <row r="18" spans="2:11" x14ac:dyDescent="0.25">
      <c r="B18" s="19" t="s">
        <v>26</v>
      </c>
      <c r="C18" s="18"/>
      <c r="D18" s="11">
        <f>+'2013'!F18</f>
        <v>2974.125</v>
      </c>
      <c r="E18" s="69">
        <f>+'2013'!G18</f>
        <v>2974.125</v>
      </c>
      <c r="F18" s="15">
        <f>+'2014'!F18</f>
        <v>11002</v>
      </c>
      <c r="G18" s="78">
        <f>+'2014'!G18</f>
        <v>11002</v>
      </c>
      <c r="H18" s="108">
        <f t="shared" si="0"/>
        <v>3.6992392720548062</v>
      </c>
      <c r="I18" s="109">
        <f t="shared" ref="I18:I23" si="2">+F18-D18</f>
        <v>8027.875</v>
      </c>
      <c r="J18" s="68"/>
      <c r="K18" s="68"/>
    </row>
    <row r="19" spans="2:11" x14ac:dyDescent="0.25">
      <c r="B19" s="19" t="s">
        <v>19</v>
      </c>
      <c r="C19" s="18"/>
      <c r="D19" s="11">
        <f>+'2013'!F19</f>
        <v>606.625</v>
      </c>
      <c r="E19" s="70">
        <f>+'2013'!G19</f>
        <v>606.625</v>
      </c>
      <c r="F19" s="15">
        <f>+'2014'!F19</f>
        <v>769.60374999999999</v>
      </c>
      <c r="G19" s="78">
        <f>+'2014'!G19</f>
        <v>769.60374999999999</v>
      </c>
      <c r="H19" s="108">
        <f t="shared" si="0"/>
        <v>1.268664743457655</v>
      </c>
      <c r="I19" s="109">
        <f t="shared" si="2"/>
        <v>162.97874999999999</v>
      </c>
      <c r="J19" s="68"/>
      <c r="K19" s="68"/>
    </row>
    <row r="20" spans="2:11" x14ac:dyDescent="0.25">
      <c r="B20" s="19" t="s">
        <v>31</v>
      </c>
      <c r="C20" s="18"/>
      <c r="D20" s="11">
        <f>+'2013'!F20</f>
        <v>12.0767525</v>
      </c>
      <c r="E20" s="70">
        <f>+'2013'!G20</f>
        <v>22.104749999999999</v>
      </c>
      <c r="F20" s="15">
        <f>+'2014'!F20</f>
        <v>29.227696250000001</v>
      </c>
      <c r="G20" s="78">
        <f>+'2014'!G20</f>
        <v>28.272625000000001</v>
      </c>
      <c r="H20" s="108">
        <f t="shared" si="0"/>
        <v>2.4201618978280792</v>
      </c>
      <c r="I20" s="109">
        <f t="shared" si="2"/>
        <v>17.150943750000003</v>
      </c>
      <c r="J20" s="68"/>
      <c r="K20" s="68"/>
    </row>
    <row r="21" spans="2:11" x14ac:dyDescent="0.25">
      <c r="B21" s="20" t="s">
        <v>21</v>
      </c>
      <c r="C21" s="18"/>
      <c r="D21" s="53">
        <f>+D20/D19*1000</f>
        <v>19.908102204821759</v>
      </c>
      <c r="E21" s="71">
        <f>+E20/E19*1000</f>
        <v>36.438903770863384</v>
      </c>
      <c r="F21" s="53">
        <f>+F20/F19*1000</f>
        <v>37.977590740689614</v>
      </c>
      <c r="G21" s="112">
        <f>+G20/G19*1000</f>
        <v>36.736599841152028</v>
      </c>
      <c r="H21" s="106">
        <f t="shared" si="0"/>
        <v>1.9076449553032437</v>
      </c>
      <c r="I21" s="107">
        <f t="shared" si="2"/>
        <v>18.069488535867855</v>
      </c>
      <c r="J21" s="114">
        <f>+G21/E21</f>
        <v>1.0081697317833882</v>
      </c>
      <c r="K21" s="115">
        <f>+G21-E21</f>
        <v>0.29769607028864442</v>
      </c>
    </row>
    <row r="22" spans="2:11" x14ac:dyDescent="0.25">
      <c r="B22" s="20" t="s">
        <v>25</v>
      </c>
      <c r="C22" s="18"/>
      <c r="D22" s="55">
        <f>+D19/D18</f>
        <v>0.20396755348211659</v>
      </c>
      <c r="E22" s="72"/>
      <c r="F22" s="64">
        <f>+F19/F18</f>
        <v>6.9951258862025079E-2</v>
      </c>
      <c r="G22" s="113"/>
      <c r="H22" s="106">
        <f t="shared" si="0"/>
        <v>0.34295287494419174</v>
      </c>
      <c r="I22" s="107">
        <f t="shared" si="2"/>
        <v>-0.13401629462009151</v>
      </c>
      <c r="J22" s="68"/>
      <c r="K22" s="68"/>
    </row>
    <row r="23" spans="2:11" x14ac:dyDescent="0.25">
      <c r="B23" s="10" t="s">
        <v>32</v>
      </c>
      <c r="C23" s="10"/>
      <c r="D23" s="57">
        <f>+D20*1000/(D18*D21)*100</f>
        <v>20.396755348211659</v>
      </c>
      <c r="E23" s="73"/>
      <c r="F23" s="57">
        <f>+F20/(F18*F21)*1000*100</f>
        <v>6.9951258862025076</v>
      </c>
      <c r="G23" s="73"/>
      <c r="H23" s="106">
        <f t="shared" si="0"/>
        <v>0.34295287494419174</v>
      </c>
      <c r="I23" s="107">
        <f t="shared" si="2"/>
        <v>-13.401629462009151</v>
      </c>
      <c r="J23" s="68"/>
      <c r="K23" s="68"/>
    </row>
    <row r="24" spans="2:11" ht="7.5" customHeight="1" x14ac:dyDescent="0.25">
      <c r="B24" s="18"/>
      <c r="C24" s="45"/>
      <c r="D24" s="45"/>
      <c r="E24" s="68"/>
      <c r="F24" s="46"/>
      <c r="G24" s="68"/>
      <c r="H24" s="111"/>
      <c r="I24" s="68"/>
      <c r="J24" s="68"/>
      <c r="K24" s="68"/>
    </row>
    <row r="25" spans="2:11" x14ac:dyDescent="0.25">
      <c r="B25" s="22" t="s">
        <v>45</v>
      </c>
      <c r="C25" s="47"/>
      <c r="D25" s="23">
        <f>+D8/(1-D6/D5)</f>
        <v>416.39610235374431</v>
      </c>
      <c r="E25" s="68"/>
      <c r="F25" s="23">
        <f>+F8/(1-F6/F5)</f>
        <v>641.50181300063173</v>
      </c>
      <c r="G25" s="68"/>
      <c r="H25" s="44">
        <f>+F25/D25</f>
        <v>1.5406047495988604</v>
      </c>
      <c r="I25" s="23">
        <f>+F25-D25</f>
        <v>225.10571064688742</v>
      </c>
      <c r="J25" s="45"/>
      <c r="K25" s="45"/>
    </row>
    <row r="26" spans="2:11" x14ac:dyDescent="0.25">
      <c r="F26" s="12"/>
    </row>
    <row r="27" spans="2:11" x14ac:dyDescent="0.25">
      <c r="F27" s="12"/>
    </row>
    <row r="28" spans="2:11" x14ac:dyDescent="0.25">
      <c r="F28" s="12"/>
    </row>
    <row r="29" spans="2:11" x14ac:dyDescent="0.25">
      <c r="F29" s="12"/>
    </row>
    <row r="30" spans="2:11" x14ac:dyDescent="0.25">
      <c r="F30" s="12"/>
    </row>
    <row r="31" spans="2:11" x14ac:dyDescent="0.25">
      <c r="F31" s="12"/>
    </row>
    <row r="32" spans="2:11" x14ac:dyDescent="0.25">
      <c r="F32" s="12"/>
    </row>
    <row r="33" spans="6:6" x14ac:dyDescent="0.25">
      <c r="F33" s="12"/>
    </row>
    <row r="34" spans="6:6" x14ac:dyDescent="0.25">
      <c r="F34" s="12"/>
    </row>
    <row r="35" spans="6:6" x14ac:dyDescent="0.25">
      <c r="F35" s="12"/>
    </row>
    <row r="36" spans="6:6" x14ac:dyDescent="0.25">
      <c r="F36" s="12"/>
    </row>
    <row r="37" spans="6:6" x14ac:dyDescent="0.25">
      <c r="F37" s="12"/>
    </row>
    <row r="38" spans="6:6" x14ac:dyDescent="0.25">
      <c r="F38" s="12"/>
    </row>
    <row r="39" spans="6:6" x14ac:dyDescent="0.25">
      <c r="F39" s="12"/>
    </row>
    <row r="40" spans="6:6" x14ac:dyDescent="0.25">
      <c r="F40" s="12"/>
    </row>
    <row r="41" spans="6:6" x14ac:dyDescent="0.25">
      <c r="F41" s="12"/>
    </row>
    <row r="42" spans="6:6" x14ac:dyDescent="0.25">
      <c r="F42" s="12"/>
    </row>
    <row r="43" spans="6:6" x14ac:dyDescent="0.25">
      <c r="F43" s="12"/>
    </row>
    <row r="44" spans="6:6" x14ac:dyDescent="0.25">
      <c r="F44" s="12"/>
    </row>
    <row r="45" spans="6:6" x14ac:dyDescent="0.25">
      <c r="F45" s="12"/>
    </row>
    <row r="46" spans="6:6" x14ac:dyDescent="0.25">
      <c r="F46" s="12"/>
    </row>
    <row r="47" spans="6:6" x14ac:dyDescent="0.25">
      <c r="F47" s="12"/>
    </row>
    <row r="48" spans="6:6" x14ac:dyDescent="0.25">
      <c r="F48" s="12"/>
    </row>
    <row r="49" spans="6:6" x14ac:dyDescent="0.25">
      <c r="F49" s="12"/>
    </row>
    <row r="50" spans="6:6" x14ac:dyDescent="0.25">
      <c r="F50" s="12"/>
    </row>
    <row r="51" spans="6:6" x14ac:dyDescent="0.25">
      <c r="F51" s="12"/>
    </row>
    <row r="52" spans="6:6" x14ac:dyDescent="0.25">
      <c r="F52" s="12"/>
    </row>
    <row r="53" spans="6:6" x14ac:dyDescent="0.25">
      <c r="F53" s="12"/>
    </row>
    <row r="54" spans="6:6" x14ac:dyDescent="0.25">
      <c r="F54" s="12"/>
    </row>
    <row r="55" spans="6:6" x14ac:dyDescent="0.25">
      <c r="F55" s="12"/>
    </row>
    <row r="56" spans="6:6" x14ac:dyDescent="0.25">
      <c r="F56" s="12"/>
    </row>
    <row r="57" spans="6:6" x14ac:dyDescent="0.25">
      <c r="F57" s="12"/>
    </row>
    <row r="58" spans="6:6" x14ac:dyDescent="0.25">
      <c r="F58" s="12"/>
    </row>
    <row r="59" spans="6:6" x14ac:dyDescent="0.25">
      <c r="F59" s="12"/>
    </row>
    <row r="60" spans="6:6" x14ac:dyDescent="0.25">
      <c r="F60" s="12"/>
    </row>
    <row r="61" spans="6:6" x14ac:dyDescent="0.25">
      <c r="F61" s="12"/>
    </row>
    <row r="62" spans="6:6" x14ac:dyDescent="0.25">
      <c r="F62" s="12"/>
    </row>
    <row r="63" spans="6:6" x14ac:dyDescent="0.25">
      <c r="F63" s="12"/>
    </row>
    <row r="64" spans="6:6" x14ac:dyDescent="0.25">
      <c r="F64" s="12"/>
    </row>
    <row r="65" spans="6:6" x14ac:dyDescent="0.25">
      <c r="F65" s="12"/>
    </row>
    <row r="66" spans="6:6" x14ac:dyDescent="0.25">
      <c r="F66" s="12"/>
    </row>
    <row r="67" spans="6:6" x14ac:dyDescent="0.25">
      <c r="F67" s="12"/>
    </row>
    <row r="68" spans="6:6" x14ac:dyDescent="0.25">
      <c r="F68" s="12"/>
    </row>
    <row r="69" spans="6:6" x14ac:dyDescent="0.25">
      <c r="F69" s="12"/>
    </row>
    <row r="70" spans="6:6" x14ac:dyDescent="0.25">
      <c r="F70" s="12"/>
    </row>
    <row r="71" spans="6:6" x14ac:dyDescent="0.25">
      <c r="F71" s="12"/>
    </row>
    <row r="72" spans="6:6" x14ac:dyDescent="0.25">
      <c r="F72" s="12"/>
    </row>
    <row r="73" spans="6:6" x14ac:dyDescent="0.25">
      <c r="F73" s="12"/>
    </row>
    <row r="74" spans="6:6" x14ac:dyDescent="0.25">
      <c r="F74" s="12"/>
    </row>
    <row r="75" spans="6:6" x14ac:dyDescent="0.25">
      <c r="F75" s="12"/>
    </row>
    <row r="76" spans="6:6" x14ac:dyDescent="0.25">
      <c r="F76" s="12"/>
    </row>
    <row r="77" spans="6:6" x14ac:dyDescent="0.25">
      <c r="F77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5" x14ac:dyDescent="0.2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8" width="16.5703125" customWidth="1"/>
    <col min="9" max="9" width="8.7109375" customWidth="1"/>
    <col min="10" max="10" width="13.7109375" customWidth="1"/>
    <col min="11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19" width="13.7109375" customWidth="1"/>
    <col min="20" max="20" width="8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20" ht="15.75" x14ac:dyDescent="0.25">
      <c r="B1" s="2" t="s">
        <v>0</v>
      </c>
      <c r="C1" s="18"/>
      <c r="D1" s="18"/>
      <c r="E1" s="18"/>
      <c r="F1" s="103"/>
      <c r="G1" s="4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2:20" x14ac:dyDescent="0.25">
      <c r="B2" s="49" t="s">
        <v>24</v>
      </c>
      <c r="C2" s="18"/>
      <c r="D2" s="3" t="s">
        <v>2</v>
      </c>
      <c r="E2" s="50" t="s">
        <v>27</v>
      </c>
      <c r="F2" s="84" t="s">
        <v>15</v>
      </c>
      <c r="G2" s="104" t="s">
        <v>27</v>
      </c>
      <c r="H2" s="3" t="s">
        <v>2</v>
      </c>
      <c r="I2" s="50" t="s">
        <v>12</v>
      </c>
      <c r="J2" s="3" t="s">
        <v>2</v>
      </c>
      <c r="K2" s="50" t="s">
        <v>12</v>
      </c>
      <c r="L2" s="3" t="s">
        <v>2</v>
      </c>
      <c r="M2" s="50" t="s">
        <v>12</v>
      </c>
      <c r="N2" s="3" t="s">
        <v>2</v>
      </c>
      <c r="O2" s="18"/>
      <c r="P2" s="18"/>
      <c r="Q2" s="3" t="s">
        <v>2</v>
      </c>
      <c r="R2" s="50" t="s">
        <v>27</v>
      </c>
      <c r="S2" s="51" t="s">
        <v>15</v>
      </c>
      <c r="T2" s="18"/>
    </row>
    <row r="3" spans="2:20" x14ac:dyDescent="0.25">
      <c r="B3" s="51" t="s">
        <v>1</v>
      </c>
      <c r="C3" s="18"/>
      <c r="D3" s="4" t="s">
        <v>33</v>
      </c>
      <c r="E3" s="25" t="s">
        <v>28</v>
      </c>
      <c r="F3" s="86" t="s">
        <v>33</v>
      </c>
      <c r="G3" s="105" t="s">
        <v>28</v>
      </c>
      <c r="H3" s="4" t="s">
        <v>34</v>
      </c>
      <c r="I3" s="25" t="s">
        <v>14</v>
      </c>
      <c r="J3" s="4" t="s">
        <v>35</v>
      </c>
      <c r="K3" s="25" t="s">
        <v>14</v>
      </c>
      <c r="L3" s="4" t="s">
        <v>36</v>
      </c>
      <c r="M3" s="25" t="s">
        <v>14</v>
      </c>
      <c r="N3" s="4" t="s">
        <v>37</v>
      </c>
      <c r="O3" s="18"/>
      <c r="P3" s="18"/>
      <c r="Q3" s="4" t="s">
        <v>13</v>
      </c>
      <c r="R3" s="25" t="s">
        <v>28</v>
      </c>
      <c r="S3" s="51" t="s">
        <v>42</v>
      </c>
      <c r="T3" s="25" t="s">
        <v>28</v>
      </c>
    </row>
    <row r="4" spans="2:20" x14ac:dyDescent="0.25">
      <c r="B4" s="52">
        <v>9403</v>
      </c>
      <c r="C4" s="18"/>
      <c r="D4" s="51" t="s">
        <v>29</v>
      </c>
      <c r="E4" s="3" t="s">
        <v>30</v>
      </c>
      <c r="F4" s="88" t="s">
        <v>29</v>
      </c>
      <c r="G4" s="37" t="s">
        <v>30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3" t="s">
        <v>30</v>
      </c>
      <c r="S4" s="51">
        <v>8</v>
      </c>
      <c r="T4" s="3" t="s">
        <v>30</v>
      </c>
    </row>
    <row r="5" spans="2:20" x14ac:dyDescent="0.25">
      <c r="B5" s="10" t="s">
        <v>4</v>
      </c>
      <c r="C5" s="18"/>
      <c r="D5" s="9">
        <f>67.25452+167.078+150.639</f>
        <v>384.97152</v>
      </c>
      <c r="E5" s="65">
        <f>+D5/$D$5</f>
        <v>1</v>
      </c>
      <c r="F5" s="89">
        <f>+D5/8</f>
        <v>48.12144</v>
      </c>
      <c r="G5" s="75">
        <f>+F5/$F$5</f>
        <v>1</v>
      </c>
      <c r="H5" s="18"/>
      <c r="I5" s="18"/>
      <c r="J5" s="18"/>
      <c r="K5" s="18"/>
      <c r="L5" s="18"/>
      <c r="M5" s="18"/>
      <c r="N5" s="18"/>
      <c r="O5" s="18"/>
      <c r="P5" s="18"/>
      <c r="Q5" s="33">
        <f>+D5+H5+J5+L5+N5</f>
        <v>384.97152</v>
      </c>
      <c r="R5" s="75">
        <f>+Q5/$Q$5</f>
        <v>1</v>
      </c>
      <c r="S5" s="33">
        <f>+Q5/$S$4</f>
        <v>48.12144</v>
      </c>
      <c r="T5" s="68"/>
    </row>
    <row r="6" spans="2:20" x14ac:dyDescent="0.25">
      <c r="B6" s="7" t="s">
        <v>5</v>
      </c>
      <c r="C6" s="18"/>
      <c r="D6" s="11">
        <f>30.061+53.1966+14.48063+67.25452+25.952</f>
        <v>190.94475</v>
      </c>
      <c r="E6" s="66">
        <f>+D6/$D$5</f>
        <v>0.49599708051130642</v>
      </c>
      <c r="F6" s="90">
        <f>+D6/8</f>
        <v>23.86809375</v>
      </c>
      <c r="G6" s="76">
        <f>+F6/$F$5</f>
        <v>0.49599708051130642</v>
      </c>
      <c r="H6" s="18"/>
      <c r="I6" s="18"/>
      <c r="J6" s="18"/>
      <c r="K6" s="18"/>
      <c r="L6" s="18"/>
      <c r="M6" s="18"/>
      <c r="N6" s="18"/>
      <c r="O6" s="18"/>
      <c r="P6" s="18"/>
      <c r="Q6" s="15">
        <f t="shared" ref="Q6:Q9" si="0">+D6+H6+J6+L6+N6</f>
        <v>190.94475</v>
      </c>
      <c r="R6" s="76">
        <f>+Q6/$Q$5</f>
        <v>0.49599708051130642</v>
      </c>
      <c r="S6" s="15">
        <f t="shared" ref="S6:S9" si="1">+Q6/$S$4</f>
        <v>23.86809375</v>
      </c>
      <c r="T6" s="68"/>
    </row>
    <row r="7" spans="2:20" x14ac:dyDescent="0.25">
      <c r="B7" s="10" t="s">
        <v>8</v>
      </c>
      <c r="C7" s="18"/>
      <c r="D7" s="8">
        <f>+D5-D6</f>
        <v>194.02677</v>
      </c>
      <c r="E7" s="67">
        <f>+D7/$D$5</f>
        <v>0.50400291948869358</v>
      </c>
      <c r="F7" s="89">
        <f>+D7/8</f>
        <v>24.25334625</v>
      </c>
      <c r="G7" s="76">
        <f>+F7/$F$5</f>
        <v>0.50400291948869358</v>
      </c>
      <c r="H7" s="18"/>
      <c r="I7" s="18"/>
      <c r="J7" s="18"/>
      <c r="K7" s="18"/>
      <c r="L7" s="18"/>
      <c r="M7" s="18"/>
      <c r="N7" s="18"/>
      <c r="O7" s="18"/>
      <c r="P7" s="18"/>
      <c r="Q7" s="13">
        <f t="shared" si="0"/>
        <v>194.02677</v>
      </c>
      <c r="R7" s="76">
        <f>+Q7/$Q$5</f>
        <v>0.50400291948869358</v>
      </c>
      <c r="S7" s="13">
        <f t="shared" si="1"/>
        <v>24.25334625</v>
      </c>
      <c r="T7" s="68"/>
    </row>
    <row r="8" spans="2:20" x14ac:dyDescent="0.25">
      <c r="B8" s="7" t="s">
        <v>6</v>
      </c>
      <c r="C8" s="18"/>
      <c r="D8" s="11">
        <f>1088.25781+378.012+212.649</f>
        <v>1678.9188100000001</v>
      </c>
      <c r="E8" s="66">
        <f>+D8/$D$5</f>
        <v>4.3611506897964816</v>
      </c>
      <c r="F8" s="90">
        <f>+D8/8</f>
        <v>209.86485125000002</v>
      </c>
      <c r="G8" s="76">
        <f>+F8/$F$5</f>
        <v>4.3611506897964816</v>
      </c>
      <c r="H8" s="18"/>
      <c r="I8" s="18"/>
      <c r="J8" s="18"/>
      <c r="K8" s="18"/>
      <c r="L8" s="18"/>
      <c r="M8" s="18"/>
      <c r="N8" s="18"/>
      <c r="O8" s="18"/>
      <c r="P8" s="18"/>
      <c r="Q8" s="15">
        <f t="shared" si="0"/>
        <v>1678.9188100000001</v>
      </c>
      <c r="R8" s="76">
        <f>+Q8/$Q$5</f>
        <v>4.3611506897964816</v>
      </c>
      <c r="S8" s="15">
        <f t="shared" si="1"/>
        <v>209.86485125000002</v>
      </c>
      <c r="T8" s="68"/>
    </row>
    <row r="9" spans="2:20" x14ac:dyDescent="0.25">
      <c r="B9" s="20" t="s">
        <v>16</v>
      </c>
      <c r="C9" s="18"/>
      <c r="D9" s="16">
        <f>+D5-D6-D8</f>
        <v>-1484.8920400000002</v>
      </c>
      <c r="E9" s="65">
        <f>+D9/$D$5</f>
        <v>-3.8571477703077885</v>
      </c>
      <c r="F9" s="91">
        <f>+D9/8</f>
        <v>-185.61150500000002</v>
      </c>
      <c r="G9" s="75">
        <f>+F9/$F$5</f>
        <v>-3.8571477703077885</v>
      </c>
      <c r="H9" s="18"/>
      <c r="I9" s="18"/>
      <c r="J9" s="18"/>
      <c r="K9" s="18"/>
      <c r="L9" s="18"/>
      <c r="M9" s="18"/>
      <c r="N9" s="18"/>
      <c r="O9" s="18"/>
      <c r="P9" s="18"/>
      <c r="Q9" s="17">
        <f t="shared" si="0"/>
        <v>-1484.8920400000002</v>
      </c>
      <c r="R9" s="75">
        <f>+Q9/$Q$5</f>
        <v>-3.8571477703077885</v>
      </c>
      <c r="S9" s="32">
        <f t="shared" si="1"/>
        <v>-185.61150500000002</v>
      </c>
      <c r="T9" s="68"/>
    </row>
    <row r="10" spans="2:20" ht="7.5" customHeight="1" x14ac:dyDescent="0.25">
      <c r="B10" s="18"/>
      <c r="C10" s="18"/>
      <c r="D10" s="35"/>
      <c r="E10" s="68"/>
      <c r="F10" s="92"/>
      <c r="G10" s="93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77"/>
      <c r="S10" s="18"/>
      <c r="T10" s="68"/>
    </row>
    <row r="11" spans="2:20" x14ac:dyDescent="0.25">
      <c r="B11" s="19" t="s">
        <v>20</v>
      </c>
      <c r="C11" s="18"/>
      <c r="D11" s="35">
        <v>3</v>
      </c>
      <c r="E11" s="68"/>
      <c r="F11" s="92">
        <v>3</v>
      </c>
      <c r="G11" s="93"/>
      <c r="H11" s="18">
        <v>3</v>
      </c>
      <c r="I11" s="18"/>
      <c r="J11" s="18"/>
      <c r="K11" s="18"/>
      <c r="L11" s="18"/>
      <c r="M11" s="18"/>
      <c r="N11" s="18"/>
      <c r="O11" s="18"/>
      <c r="P11" s="18"/>
      <c r="Q11" s="15">
        <v>3</v>
      </c>
      <c r="R11" s="68"/>
      <c r="S11" s="31">
        <f>+Q11</f>
        <v>3</v>
      </c>
      <c r="T11" s="68"/>
    </row>
    <row r="12" spans="2:20" x14ac:dyDescent="0.25">
      <c r="B12" s="19" t="s">
        <v>17</v>
      </c>
      <c r="C12" s="18"/>
      <c r="D12" s="35">
        <f>636.91385+378.012</f>
        <v>1014.9258500000001</v>
      </c>
      <c r="E12" s="68"/>
      <c r="F12" s="90">
        <f>+D12/8</f>
        <v>126.86573125000001</v>
      </c>
      <c r="G12" s="93"/>
      <c r="H12" s="18"/>
      <c r="I12" s="18"/>
      <c r="J12" s="18"/>
      <c r="K12" s="18"/>
      <c r="L12" s="18"/>
      <c r="M12" s="18"/>
      <c r="N12" s="18"/>
      <c r="O12" s="18"/>
      <c r="P12" s="18"/>
      <c r="Q12" s="15">
        <f t="shared" ref="Q12" si="2">+D12+H12+J12+L12+N12</f>
        <v>1014.9258500000001</v>
      </c>
      <c r="R12" s="68"/>
      <c r="S12" s="15">
        <f t="shared" ref="S12" si="3">+Q12/$S$4</f>
        <v>126.86573125000001</v>
      </c>
      <c r="T12" s="68"/>
    </row>
    <row r="13" spans="2:20" x14ac:dyDescent="0.25">
      <c r="B13" s="20" t="s">
        <v>22</v>
      </c>
      <c r="C13" s="18"/>
      <c r="D13" s="36">
        <f>+D12/D5</f>
        <v>2.6363660615725548</v>
      </c>
      <c r="E13" s="68"/>
      <c r="F13" s="94">
        <f>+F12/F5</f>
        <v>2.6363660615725548</v>
      </c>
      <c r="G13" s="93"/>
      <c r="H13" s="18"/>
      <c r="I13" s="18"/>
      <c r="J13" s="18"/>
      <c r="K13" s="18"/>
      <c r="L13" s="18"/>
      <c r="M13" s="18"/>
      <c r="N13" s="18"/>
      <c r="O13" s="18"/>
      <c r="P13" s="18"/>
      <c r="Q13" s="38">
        <f>+Q12/Q5</f>
        <v>2.6363660615725548</v>
      </c>
      <c r="R13" s="68"/>
      <c r="S13" s="38">
        <f>+S12/S5</f>
        <v>2.6363660615725548</v>
      </c>
      <c r="T13" s="68"/>
    </row>
    <row r="14" spans="2:20" x14ac:dyDescent="0.25">
      <c r="B14" s="20" t="s">
        <v>18</v>
      </c>
      <c r="C14" s="18"/>
      <c r="D14" s="8">
        <f>+D5/D11</f>
        <v>128.32383999999999</v>
      </c>
      <c r="E14" s="68"/>
      <c r="F14" s="95">
        <f>+F5/F11</f>
        <v>16.040479999999999</v>
      </c>
      <c r="G14" s="93"/>
      <c r="H14" s="18"/>
      <c r="I14" s="18"/>
      <c r="J14" s="18"/>
      <c r="K14" s="18"/>
      <c r="L14" s="18"/>
      <c r="M14" s="18"/>
      <c r="N14" s="18"/>
      <c r="O14" s="18"/>
      <c r="P14" s="18"/>
      <c r="Q14" s="39">
        <f>+Q5/Q11</f>
        <v>128.32383999999999</v>
      </c>
      <c r="R14" s="68"/>
      <c r="S14" s="39">
        <f>+S5/S11</f>
        <v>16.040479999999999</v>
      </c>
      <c r="T14" s="68"/>
    </row>
    <row r="15" spans="2:20" x14ac:dyDescent="0.25">
      <c r="B15" s="10" t="s">
        <v>47</v>
      </c>
      <c r="C15" s="18"/>
      <c r="D15" s="8">
        <f>+D12/D11</f>
        <v>338.30861666666669</v>
      </c>
      <c r="E15" s="68"/>
      <c r="F15" s="95">
        <f>+F12/F11</f>
        <v>42.288577083333337</v>
      </c>
      <c r="G15" s="93"/>
      <c r="H15" s="18"/>
      <c r="I15" s="18"/>
      <c r="J15" s="18"/>
      <c r="K15" s="18"/>
      <c r="L15" s="18"/>
      <c r="M15" s="18"/>
      <c r="N15" s="18"/>
      <c r="O15" s="18"/>
      <c r="P15" s="18"/>
      <c r="Q15" s="39">
        <f>+Q12/Q11</f>
        <v>338.30861666666669</v>
      </c>
      <c r="R15" s="68"/>
      <c r="S15" s="39">
        <f>+S12/S11</f>
        <v>42.288577083333337</v>
      </c>
      <c r="T15" s="68"/>
    </row>
    <row r="16" spans="2:20" x14ac:dyDescent="0.25">
      <c r="B16" s="20" t="s">
        <v>23</v>
      </c>
      <c r="C16" s="18"/>
      <c r="D16" s="36">
        <f>+D12/D7</f>
        <v>5.2308547423636442</v>
      </c>
      <c r="E16" s="68"/>
      <c r="F16" s="94">
        <f>+F12/F7</f>
        <v>5.2308547423636442</v>
      </c>
      <c r="G16" s="93"/>
      <c r="H16" s="18"/>
      <c r="I16" s="18"/>
      <c r="J16" s="18"/>
      <c r="K16" s="18"/>
      <c r="L16" s="18"/>
      <c r="M16" s="18"/>
      <c r="N16" s="18"/>
      <c r="O16" s="18"/>
      <c r="P16" s="18"/>
      <c r="Q16" s="38">
        <f>+Q12/Q7</f>
        <v>5.2308547423636442</v>
      </c>
      <c r="R16" s="68"/>
      <c r="S16" s="38">
        <f>+S12/S7</f>
        <v>5.2308547423636442</v>
      </c>
      <c r="T16" s="68"/>
    </row>
    <row r="17" spans="2:20" ht="7.5" customHeight="1" x14ac:dyDescent="0.25">
      <c r="B17" s="7"/>
      <c r="C17" s="18"/>
      <c r="D17" s="35"/>
      <c r="E17" s="68"/>
      <c r="F17" s="92"/>
      <c r="G17" s="93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68"/>
      <c r="S17" s="18"/>
      <c r="T17" s="68"/>
    </row>
    <row r="18" spans="2:20" x14ac:dyDescent="0.25">
      <c r="B18" s="19" t="s">
        <v>26</v>
      </c>
      <c r="C18" s="18"/>
      <c r="D18" s="11">
        <v>23793</v>
      </c>
      <c r="E18" s="69">
        <v>23793</v>
      </c>
      <c r="F18" s="90">
        <f t="shared" ref="F18:G20" si="4">+D18/8</f>
        <v>2974.125</v>
      </c>
      <c r="G18" s="96">
        <f t="shared" si="4"/>
        <v>2974.125</v>
      </c>
      <c r="H18" s="18"/>
      <c r="I18" s="18"/>
      <c r="J18" s="18"/>
      <c r="K18" s="18"/>
      <c r="L18" s="18"/>
      <c r="M18" s="18"/>
      <c r="N18" s="18"/>
      <c r="O18" s="18"/>
      <c r="P18" s="18"/>
      <c r="Q18" s="15">
        <f t="shared" ref="Q18:Q20" si="5">+D18+H18+J18+L18+N18</f>
        <v>23793</v>
      </c>
      <c r="R18" s="78">
        <f>+E18+I18+K18+M18</f>
        <v>23793</v>
      </c>
      <c r="S18" s="15">
        <f t="shared" ref="S18:T20" si="6">+Q18/$S$4</f>
        <v>2974.125</v>
      </c>
      <c r="T18" s="78">
        <f t="shared" si="6"/>
        <v>2974.125</v>
      </c>
    </row>
    <row r="19" spans="2:20" x14ac:dyDescent="0.25">
      <c r="B19" s="19" t="s">
        <v>46</v>
      </c>
      <c r="C19" s="18"/>
      <c r="D19" s="11">
        <f>1944+2909</f>
        <v>4853</v>
      </c>
      <c r="E19" s="70">
        <f>1944+2909</f>
        <v>4853</v>
      </c>
      <c r="F19" s="90">
        <f t="shared" si="4"/>
        <v>606.625</v>
      </c>
      <c r="G19" s="96">
        <f t="shared" si="4"/>
        <v>606.625</v>
      </c>
      <c r="H19" s="18"/>
      <c r="I19" s="18"/>
      <c r="J19" s="18"/>
      <c r="K19" s="18"/>
      <c r="L19" s="18"/>
      <c r="M19" s="18"/>
      <c r="N19" s="18"/>
      <c r="O19" s="18"/>
      <c r="P19" s="18"/>
      <c r="Q19" s="15">
        <f t="shared" si="5"/>
        <v>4853</v>
      </c>
      <c r="R19" s="78">
        <f>+E19+I19+K19+M19</f>
        <v>4853</v>
      </c>
      <c r="S19" s="15">
        <f t="shared" si="6"/>
        <v>606.625</v>
      </c>
      <c r="T19" s="78">
        <f t="shared" si="6"/>
        <v>606.625</v>
      </c>
    </row>
    <row r="20" spans="2:20" x14ac:dyDescent="0.25">
      <c r="B20" s="19" t="s">
        <v>31</v>
      </c>
      <c r="C20" s="18"/>
      <c r="D20" s="11">
        <f>30.06142+53.1966+0.736+12.62</f>
        <v>96.614019999999996</v>
      </c>
      <c r="E20" s="70">
        <f>70.192+106.646</f>
        <v>176.83799999999999</v>
      </c>
      <c r="F20" s="90">
        <f t="shared" si="4"/>
        <v>12.0767525</v>
      </c>
      <c r="G20" s="96">
        <f t="shared" si="4"/>
        <v>22.104749999999999</v>
      </c>
      <c r="H20" s="18"/>
      <c r="I20" s="18"/>
      <c r="J20" s="18"/>
      <c r="K20" s="18"/>
      <c r="L20" s="18"/>
      <c r="M20" s="18"/>
      <c r="N20" s="18"/>
      <c r="O20" s="18"/>
      <c r="P20" s="18"/>
      <c r="Q20" s="15">
        <f t="shared" si="5"/>
        <v>96.614019999999996</v>
      </c>
      <c r="R20" s="78">
        <f>+E20+I20+K20+M20</f>
        <v>176.83799999999999</v>
      </c>
      <c r="S20" s="15">
        <f t="shared" si="6"/>
        <v>12.0767525</v>
      </c>
      <c r="T20" s="78">
        <f t="shared" si="6"/>
        <v>22.104749999999999</v>
      </c>
    </row>
    <row r="21" spans="2:20" x14ac:dyDescent="0.25">
      <c r="B21" s="20" t="s">
        <v>21</v>
      </c>
      <c r="C21" s="18"/>
      <c r="D21" s="53">
        <f>+D20/D19*1000</f>
        <v>19.908102204821759</v>
      </c>
      <c r="E21" s="71">
        <f>+E20/E19*1000</f>
        <v>36.438903770863384</v>
      </c>
      <c r="F21" s="97">
        <f>+F20/F19*1000</f>
        <v>19.908102204821759</v>
      </c>
      <c r="G21" s="79">
        <f>+G20/G19*1000</f>
        <v>36.438903770863384</v>
      </c>
      <c r="H21" s="18"/>
      <c r="I21" s="18"/>
      <c r="J21" s="18"/>
      <c r="K21" s="18"/>
      <c r="L21" s="18"/>
      <c r="M21" s="18"/>
      <c r="N21" s="18"/>
      <c r="O21" s="18"/>
      <c r="P21" s="18"/>
      <c r="Q21" s="54">
        <f>+Q20/Q19*1000</f>
        <v>19.908102204821759</v>
      </c>
      <c r="R21" s="79">
        <f>+R20/R19*1000</f>
        <v>36.438903770863384</v>
      </c>
      <c r="S21" s="54">
        <f>+S20/S19*1000</f>
        <v>19.908102204821759</v>
      </c>
      <c r="T21" s="79">
        <f>+T20/T19*1000</f>
        <v>36.438903770863384</v>
      </c>
    </row>
    <row r="22" spans="2:20" x14ac:dyDescent="0.25">
      <c r="B22" s="20" t="s">
        <v>25</v>
      </c>
      <c r="C22" s="18"/>
      <c r="D22" s="55">
        <f>+D19/D18</f>
        <v>0.20396755348211659</v>
      </c>
      <c r="E22" s="72"/>
      <c r="F22" s="98">
        <f>+F19/F18</f>
        <v>0.20396755348211659</v>
      </c>
      <c r="G22" s="80"/>
      <c r="H22" s="18"/>
      <c r="I22" s="18"/>
      <c r="J22" s="18"/>
      <c r="K22" s="18"/>
      <c r="L22" s="18"/>
      <c r="M22" s="18"/>
      <c r="N22" s="18"/>
      <c r="O22" s="18"/>
      <c r="P22" s="18"/>
      <c r="Q22" s="56">
        <f>+Q19/Q18</f>
        <v>0.20396755348211659</v>
      </c>
      <c r="R22" s="80"/>
      <c r="S22" s="56">
        <f>+S19/S18</f>
        <v>0.20396755348211659</v>
      </c>
      <c r="T22" s="80"/>
    </row>
    <row r="23" spans="2:20" x14ac:dyDescent="0.25">
      <c r="B23" s="10" t="s">
        <v>32</v>
      </c>
      <c r="C23" s="10"/>
      <c r="D23" s="57">
        <f>+D20*1000/(D18*D21)*100</f>
        <v>20.396755348211659</v>
      </c>
      <c r="E23" s="73"/>
      <c r="F23" s="99">
        <f>+F20/(F18*F21)*1000*100</f>
        <v>20.396755348211659</v>
      </c>
      <c r="G23" s="81"/>
      <c r="H23" s="18"/>
      <c r="I23" s="18"/>
      <c r="J23" s="18"/>
      <c r="K23" s="18"/>
      <c r="L23" s="18"/>
      <c r="M23" s="18"/>
      <c r="N23" s="18"/>
      <c r="O23" s="18"/>
      <c r="P23" s="18"/>
      <c r="Q23" s="58">
        <f>+Q20/(Q18*Q21)*1000*100</f>
        <v>20.396755348211659</v>
      </c>
      <c r="R23" s="81"/>
      <c r="S23" s="58">
        <f>+S20/(S18*S21)*1000*100</f>
        <v>20.396755348211659</v>
      </c>
      <c r="T23" s="81"/>
    </row>
    <row r="24" spans="2:20" ht="7.5" customHeight="1" x14ac:dyDescent="0.25">
      <c r="B24" s="18"/>
      <c r="E24" s="74"/>
      <c r="F24" s="100"/>
      <c r="G24" s="101"/>
      <c r="R24" s="74"/>
      <c r="T24" s="74"/>
    </row>
    <row r="25" spans="2:20" x14ac:dyDescent="0.25">
      <c r="B25" s="22" t="s">
        <v>45</v>
      </c>
      <c r="C25" s="21"/>
      <c r="D25" s="23">
        <f>+D8/(1-D6/D5)</f>
        <v>3331.1688188299545</v>
      </c>
      <c r="E25" s="74"/>
      <c r="F25" s="102">
        <f>+F8/(1-F6/F5)</f>
        <v>416.39610235374431</v>
      </c>
      <c r="G25" s="101"/>
      <c r="Q25" s="34">
        <f>+Q8/(1-Q6/Q5)</f>
        <v>3331.1688188299545</v>
      </c>
      <c r="R25" s="82"/>
      <c r="S25" s="34">
        <f>+S8/(1-S6/S5)</f>
        <v>416.39610235374431</v>
      </c>
      <c r="T25" s="82"/>
    </row>
    <row r="26" spans="2:20" x14ac:dyDescent="0.25">
      <c r="F26" s="12"/>
    </row>
    <row r="27" spans="2:20" x14ac:dyDescent="0.25">
      <c r="F27" s="12"/>
    </row>
    <row r="28" spans="2:20" x14ac:dyDescent="0.25">
      <c r="F28" s="12"/>
    </row>
    <row r="29" spans="2:20" x14ac:dyDescent="0.25">
      <c r="F29" s="12"/>
    </row>
    <row r="30" spans="2:20" x14ac:dyDescent="0.25">
      <c r="F30" s="12"/>
    </row>
    <row r="31" spans="2:20" x14ac:dyDescent="0.25">
      <c r="F31" s="12"/>
    </row>
    <row r="32" spans="2:20" x14ac:dyDescent="0.25">
      <c r="F32" s="12"/>
    </row>
    <row r="33" spans="6:6" x14ac:dyDescent="0.25">
      <c r="F33" s="12"/>
    </row>
    <row r="34" spans="6:6" x14ac:dyDescent="0.25">
      <c r="F34" s="12"/>
    </row>
    <row r="35" spans="6:6" x14ac:dyDescent="0.25">
      <c r="F35" s="12"/>
    </row>
    <row r="36" spans="6:6" x14ac:dyDescent="0.25">
      <c r="F36" s="12"/>
    </row>
    <row r="37" spans="6:6" x14ac:dyDescent="0.25">
      <c r="F37" s="12"/>
    </row>
    <row r="38" spans="6:6" x14ac:dyDescent="0.25">
      <c r="F38" s="12"/>
    </row>
    <row r="39" spans="6:6" x14ac:dyDescent="0.25">
      <c r="F39" s="12"/>
    </row>
    <row r="40" spans="6:6" x14ac:dyDescent="0.25">
      <c r="F40" s="12"/>
    </row>
    <row r="41" spans="6:6" x14ac:dyDescent="0.25">
      <c r="F41" s="12"/>
    </row>
    <row r="42" spans="6:6" x14ac:dyDescent="0.25">
      <c r="F42" s="12"/>
    </row>
    <row r="43" spans="6:6" x14ac:dyDescent="0.25">
      <c r="F43" s="12"/>
    </row>
    <row r="44" spans="6:6" x14ac:dyDescent="0.25">
      <c r="F44" s="12"/>
    </row>
    <row r="45" spans="6:6" x14ac:dyDescent="0.25">
      <c r="F45" s="12"/>
    </row>
    <row r="46" spans="6:6" x14ac:dyDescent="0.25">
      <c r="F46" s="12"/>
    </row>
    <row r="47" spans="6:6" x14ac:dyDescent="0.25">
      <c r="F47" s="12"/>
    </row>
    <row r="48" spans="6:6" x14ac:dyDescent="0.25">
      <c r="F48" s="12"/>
    </row>
    <row r="49" spans="6:6" x14ac:dyDescent="0.25">
      <c r="F49" s="12"/>
    </row>
    <row r="50" spans="6:6" x14ac:dyDescent="0.25">
      <c r="F50" s="12"/>
    </row>
    <row r="51" spans="6:6" x14ac:dyDescent="0.25">
      <c r="F51" s="12"/>
    </row>
    <row r="52" spans="6:6" x14ac:dyDescent="0.25">
      <c r="F52" s="12"/>
    </row>
    <row r="53" spans="6:6" x14ac:dyDescent="0.25">
      <c r="F53" s="12"/>
    </row>
    <row r="54" spans="6:6" x14ac:dyDescent="0.25">
      <c r="F54" s="12"/>
    </row>
    <row r="55" spans="6:6" x14ac:dyDescent="0.25">
      <c r="F55" s="12"/>
    </row>
    <row r="56" spans="6:6" x14ac:dyDescent="0.25">
      <c r="F56" s="12"/>
    </row>
    <row r="57" spans="6:6" x14ac:dyDescent="0.25">
      <c r="F57" s="12"/>
    </row>
    <row r="58" spans="6:6" x14ac:dyDescent="0.25">
      <c r="F58" s="12"/>
    </row>
    <row r="59" spans="6:6" x14ac:dyDescent="0.25">
      <c r="F59" s="12"/>
    </row>
    <row r="60" spans="6:6" x14ac:dyDescent="0.25">
      <c r="F60" s="12"/>
    </row>
    <row r="61" spans="6:6" x14ac:dyDescent="0.25">
      <c r="F61" s="12"/>
    </row>
    <row r="62" spans="6:6" x14ac:dyDescent="0.25">
      <c r="F62" s="12"/>
    </row>
    <row r="63" spans="6:6" x14ac:dyDescent="0.25">
      <c r="F63" s="12"/>
    </row>
    <row r="64" spans="6:6" x14ac:dyDescent="0.25">
      <c r="F64" s="12"/>
    </row>
    <row r="65" spans="6:6" x14ac:dyDescent="0.25">
      <c r="F65" s="12"/>
    </row>
    <row r="66" spans="6:6" x14ac:dyDescent="0.25">
      <c r="F66" s="12"/>
    </row>
    <row r="67" spans="6:6" x14ac:dyDescent="0.25">
      <c r="F67" s="12"/>
    </row>
    <row r="68" spans="6:6" x14ac:dyDescent="0.25">
      <c r="F68" s="12"/>
    </row>
    <row r="69" spans="6:6" x14ac:dyDescent="0.25">
      <c r="F69" s="12"/>
    </row>
    <row r="70" spans="6:6" x14ac:dyDescent="0.25">
      <c r="F70" s="12"/>
    </row>
    <row r="71" spans="6:6" x14ac:dyDescent="0.25">
      <c r="F71" s="12"/>
    </row>
    <row r="72" spans="6:6" x14ac:dyDescent="0.25">
      <c r="F72" s="12"/>
    </row>
    <row r="73" spans="6:6" x14ac:dyDescent="0.25">
      <c r="F73" s="12"/>
    </row>
    <row r="74" spans="6:6" x14ac:dyDescent="0.25">
      <c r="F74" s="12"/>
    </row>
    <row r="75" spans="6:6" x14ac:dyDescent="0.25">
      <c r="F75" s="12"/>
    </row>
    <row r="76" spans="6:6" x14ac:dyDescent="0.25">
      <c r="F76" s="12"/>
    </row>
    <row r="77" spans="6:6" x14ac:dyDescent="0.25">
      <c r="F77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7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H14" sqref="H14"/>
    </sheetView>
  </sheetViews>
  <sheetFormatPr defaultRowHeight="15" x14ac:dyDescent="0.2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8" width="16.5703125" customWidth="1"/>
    <col min="9" max="9" width="8.7109375" customWidth="1"/>
    <col min="10" max="10" width="13.7109375" customWidth="1"/>
    <col min="11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19" width="13.7109375" customWidth="1"/>
    <col min="20" max="20" width="8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20" ht="15.75" x14ac:dyDescent="0.25">
      <c r="B1" s="2" t="s">
        <v>0</v>
      </c>
      <c r="C1" s="59"/>
      <c r="D1" s="59"/>
      <c r="E1" s="59"/>
      <c r="F1" s="83"/>
      <c r="G1" s="60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2:20" x14ac:dyDescent="0.25">
      <c r="B2" s="49" t="s">
        <v>24</v>
      </c>
      <c r="C2" s="59"/>
      <c r="D2" s="3" t="s">
        <v>2</v>
      </c>
      <c r="E2" s="61" t="s">
        <v>27</v>
      </c>
      <c r="F2" s="84" t="s">
        <v>15</v>
      </c>
      <c r="G2" s="85" t="s">
        <v>27</v>
      </c>
      <c r="H2" s="3" t="s">
        <v>2</v>
      </c>
      <c r="I2" s="61" t="s">
        <v>12</v>
      </c>
      <c r="J2" s="3" t="s">
        <v>2</v>
      </c>
      <c r="K2" s="61" t="s">
        <v>12</v>
      </c>
      <c r="L2" s="3" t="s">
        <v>2</v>
      </c>
      <c r="M2" s="61" t="s">
        <v>12</v>
      </c>
      <c r="N2" s="3" t="s">
        <v>2</v>
      </c>
      <c r="O2" s="59"/>
      <c r="P2" s="59"/>
      <c r="Q2" s="3" t="s">
        <v>2</v>
      </c>
      <c r="R2" s="61" t="s">
        <v>27</v>
      </c>
      <c r="S2" s="62" t="s">
        <v>15</v>
      </c>
      <c r="T2" s="59"/>
    </row>
    <row r="3" spans="2:20" x14ac:dyDescent="0.25">
      <c r="B3" s="51" t="s">
        <v>1</v>
      </c>
      <c r="C3" s="59"/>
      <c r="D3" s="4" t="s">
        <v>3</v>
      </c>
      <c r="E3" s="25" t="s">
        <v>28</v>
      </c>
      <c r="F3" s="86" t="s">
        <v>3</v>
      </c>
      <c r="G3" s="87" t="s">
        <v>28</v>
      </c>
      <c r="H3" s="4" t="s">
        <v>7</v>
      </c>
      <c r="I3" s="63" t="s">
        <v>14</v>
      </c>
      <c r="J3" s="4" t="s">
        <v>9</v>
      </c>
      <c r="K3" s="63" t="s">
        <v>14</v>
      </c>
      <c r="L3" s="4" t="s">
        <v>10</v>
      </c>
      <c r="M3" s="63" t="s">
        <v>14</v>
      </c>
      <c r="N3" s="4" t="s">
        <v>11</v>
      </c>
      <c r="O3" s="59"/>
      <c r="P3" s="59"/>
      <c r="Q3" s="4" t="s">
        <v>13</v>
      </c>
      <c r="R3" s="25" t="s">
        <v>28</v>
      </c>
      <c r="S3" s="62" t="s">
        <v>42</v>
      </c>
      <c r="T3" s="25" t="s">
        <v>28</v>
      </c>
    </row>
    <row r="4" spans="2:20" x14ac:dyDescent="0.25">
      <c r="B4" s="52">
        <v>9403</v>
      </c>
      <c r="C4" s="59"/>
      <c r="D4" s="51" t="s">
        <v>29</v>
      </c>
      <c r="E4" s="3" t="s">
        <v>30</v>
      </c>
      <c r="F4" s="88" t="s">
        <v>29</v>
      </c>
      <c r="G4" s="37" t="s">
        <v>30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3" t="s">
        <v>30</v>
      </c>
      <c r="S4" s="62">
        <v>8</v>
      </c>
      <c r="T4" s="3" t="s">
        <v>30</v>
      </c>
    </row>
    <row r="5" spans="2:20" x14ac:dyDescent="0.25">
      <c r="B5" s="10" t="s">
        <v>4</v>
      </c>
      <c r="C5" s="18"/>
      <c r="D5" s="9">
        <v>832.01</v>
      </c>
      <c r="E5" s="65">
        <f>+D5/$D$5</f>
        <v>1</v>
      </c>
      <c r="F5" s="89">
        <f>+D5/8</f>
        <v>104.00125</v>
      </c>
      <c r="G5" s="75">
        <f>+F5/$F$5</f>
        <v>1</v>
      </c>
      <c r="H5" s="18"/>
      <c r="I5" s="18"/>
      <c r="J5" s="18"/>
      <c r="K5" s="18"/>
      <c r="L5" s="18"/>
      <c r="M5" s="18"/>
      <c r="N5" s="18"/>
      <c r="O5" s="18"/>
      <c r="P5" s="18"/>
      <c r="Q5" s="33">
        <f>+D5+H5+J5+L5+N5</f>
        <v>832.01</v>
      </c>
      <c r="R5" s="75">
        <f>+Q5/$Q$5</f>
        <v>1</v>
      </c>
      <c r="S5" s="33">
        <f>+Q5/$S$4</f>
        <v>104.00125</v>
      </c>
      <c r="T5" s="68"/>
    </row>
    <row r="6" spans="2:20" x14ac:dyDescent="0.25">
      <c r="B6" s="7" t="s">
        <v>5</v>
      </c>
      <c r="C6" s="18"/>
      <c r="D6" s="11">
        <f>45.42994+44.76812+237.87327+188.93163</f>
        <v>517.00296000000003</v>
      </c>
      <c r="E6" s="66">
        <f>+D6/$D$5</f>
        <v>0.62139031982788673</v>
      </c>
      <c r="F6" s="90">
        <f>+D6/8</f>
        <v>64.625370000000004</v>
      </c>
      <c r="G6" s="76">
        <f>+F6/$F$5</f>
        <v>0.62139031982788673</v>
      </c>
      <c r="H6" s="18"/>
      <c r="I6" s="18"/>
      <c r="J6" s="18"/>
      <c r="K6" s="18"/>
      <c r="L6" s="18"/>
      <c r="M6" s="18"/>
      <c r="N6" s="18"/>
      <c r="O6" s="18"/>
      <c r="P6" s="18"/>
      <c r="Q6" s="15">
        <f t="shared" ref="Q6:Q9" si="0">+D6+H6+J6+L6+N6</f>
        <v>517.00296000000003</v>
      </c>
      <c r="R6" s="76">
        <f>+Q6/$Q$5</f>
        <v>0.62139031982788673</v>
      </c>
      <c r="S6" s="15">
        <f t="shared" ref="S6:S9" si="1">+Q6/$S$4</f>
        <v>64.625370000000004</v>
      </c>
      <c r="T6" s="68"/>
    </row>
    <row r="7" spans="2:20" x14ac:dyDescent="0.25">
      <c r="B7" s="10" t="s">
        <v>8</v>
      </c>
      <c r="C7" s="18"/>
      <c r="D7" s="8">
        <f>+D5-D6</f>
        <v>315.00703999999996</v>
      </c>
      <c r="E7" s="67">
        <f>+D7/$D$5</f>
        <v>0.37860968017211327</v>
      </c>
      <c r="F7" s="89">
        <f>+D7/8</f>
        <v>39.375879999999995</v>
      </c>
      <c r="G7" s="76">
        <f>+F7/$F$5</f>
        <v>0.37860968017211327</v>
      </c>
      <c r="H7" s="18"/>
      <c r="I7" s="18"/>
      <c r="J7" s="18"/>
      <c r="K7" s="18"/>
      <c r="L7" s="18"/>
      <c r="M7" s="18"/>
      <c r="N7" s="18"/>
      <c r="O7" s="18"/>
      <c r="P7" s="18"/>
      <c r="Q7" s="13">
        <f t="shared" si="0"/>
        <v>315.00703999999996</v>
      </c>
      <c r="R7" s="76">
        <f>+Q7/$Q$5</f>
        <v>0.37860968017211327</v>
      </c>
      <c r="S7" s="13">
        <f t="shared" si="1"/>
        <v>39.375879999999995</v>
      </c>
      <c r="T7" s="68"/>
    </row>
    <row r="8" spans="2:20" x14ac:dyDescent="0.25">
      <c r="B8" s="7" t="s">
        <v>6</v>
      </c>
      <c r="C8" s="18"/>
      <c r="D8" s="11">
        <f>2131.422-188.39163</f>
        <v>1943.0303699999999</v>
      </c>
      <c r="E8" s="66">
        <f>+D8/$D$5</f>
        <v>2.3353449718152426</v>
      </c>
      <c r="F8" s="90">
        <f>+D8/8</f>
        <v>242.87879624999999</v>
      </c>
      <c r="G8" s="76">
        <f>+F8/$F$5</f>
        <v>2.3353449718152426</v>
      </c>
      <c r="H8" s="18"/>
      <c r="I8" s="18"/>
      <c r="J8" s="18"/>
      <c r="K8" s="18"/>
      <c r="L8" s="18"/>
      <c r="M8" s="18"/>
      <c r="N8" s="18"/>
      <c r="O8" s="18"/>
      <c r="P8" s="18"/>
      <c r="Q8" s="15">
        <f t="shared" si="0"/>
        <v>1943.0303699999999</v>
      </c>
      <c r="R8" s="76">
        <f>+Q8/$Q$5</f>
        <v>2.3353449718152426</v>
      </c>
      <c r="S8" s="15">
        <f t="shared" si="1"/>
        <v>242.87879624999999</v>
      </c>
      <c r="T8" s="68"/>
    </row>
    <row r="9" spans="2:20" x14ac:dyDescent="0.25">
      <c r="B9" s="20" t="s">
        <v>16</v>
      </c>
      <c r="C9" s="18"/>
      <c r="D9" s="16">
        <f>+D5-D6-D8</f>
        <v>-1628.02333</v>
      </c>
      <c r="E9" s="65">
        <f>+D9/$D$5</f>
        <v>-1.9567352916431293</v>
      </c>
      <c r="F9" s="91">
        <f>+D9/8</f>
        <v>-203.50291625</v>
      </c>
      <c r="G9" s="75">
        <f>+F9/$F$5</f>
        <v>-1.9567352916431293</v>
      </c>
      <c r="H9" s="18"/>
      <c r="I9" s="18"/>
      <c r="J9" s="18"/>
      <c r="K9" s="18"/>
      <c r="L9" s="18"/>
      <c r="M9" s="18"/>
      <c r="N9" s="18"/>
      <c r="O9" s="18"/>
      <c r="P9" s="18"/>
      <c r="Q9" s="17">
        <f t="shared" si="0"/>
        <v>-1628.02333</v>
      </c>
      <c r="R9" s="75">
        <f>+Q9/$Q$5</f>
        <v>-1.9567352916431293</v>
      </c>
      <c r="S9" s="32">
        <f t="shared" si="1"/>
        <v>-203.50291625</v>
      </c>
      <c r="T9" s="68"/>
    </row>
    <row r="10" spans="2:20" ht="7.5" customHeight="1" x14ac:dyDescent="0.25">
      <c r="B10" s="18"/>
      <c r="C10" s="18"/>
      <c r="D10" s="35"/>
      <c r="E10" s="68"/>
      <c r="F10" s="92"/>
      <c r="G10" s="93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77"/>
      <c r="S10" s="18"/>
      <c r="T10" s="68"/>
    </row>
    <row r="11" spans="2:20" x14ac:dyDescent="0.25">
      <c r="B11" s="19" t="s">
        <v>20</v>
      </c>
      <c r="C11" s="18"/>
      <c r="D11" s="35">
        <v>3</v>
      </c>
      <c r="E11" s="68"/>
      <c r="F11" s="92">
        <v>3</v>
      </c>
      <c r="G11" s="93"/>
      <c r="H11" s="18">
        <v>0</v>
      </c>
      <c r="I11" s="18"/>
      <c r="J11" s="18"/>
      <c r="K11" s="18"/>
      <c r="L11" s="18"/>
      <c r="M11" s="18"/>
      <c r="N11" s="18"/>
      <c r="O11" s="18"/>
      <c r="P11" s="18"/>
      <c r="Q11" s="15">
        <v>3</v>
      </c>
      <c r="R11" s="68"/>
      <c r="S11" s="31">
        <f>+Q11</f>
        <v>3</v>
      </c>
      <c r="T11" s="68"/>
    </row>
    <row r="12" spans="2:20" x14ac:dyDescent="0.25">
      <c r="B12" s="19" t="s">
        <v>17</v>
      </c>
      <c r="C12" s="18"/>
      <c r="D12" s="35">
        <v>1229.04</v>
      </c>
      <c r="E12" s="68"/>
      <c r="F12" s="90">
        <f>+D12/8</f>
        <v>153.63</v>
      </c>
      <c r="G12" s="93"/>
      <c r="H12" s="18"/>
      <c r="I12" s="18"/>
      <c r="J12" s="18"/>
      <c r="K12" s="18"/>
      <c r="L12" s="18"/>
      <c r="M12" s="18"/>
      <c r="N12" s="18"/>
      <c r="O12" s="18"/>
      <c r="P12" s="18"/>
      <c r="Q12" s="15">
        <f t="shared" ref="Q12" si="2">+D12+H12+J12+L12+N12</f>
        <v>1229.04</v>
      </c>
      <c r="R12" s="68"/>
      <c r="S12" s="15">
        <f t="shared" ref="S12" si="3">+Q12/$S$4</f>
        <v>153.63</v>
      </c>
      <c r="T12" s="68"/>
    </row>
    <row r="13" spans="2:20" x14ac:dyDescent="0.25">
      <c r="B13" s="20" t="s">
        <v>22</v>
      </c>
      <c r="C13" s="18"/>
      <c r="D13" s="36">
        <f>+D12/D5</f>
        <v>1.4771937837285609</v>
      </c>
      <c r="E13" s="68"/>
      <c r="F13" s="94">
        <f>+F12/F5</f>
        <v>1.4771937837285609</v>
      </c>
      <c r="G13" s="93"/>
      <c r="H13" s="18"/>
      <c r="I13" s="18"/>
      <c r="J13" s="18"/>
      <c r="K13" s="18"/>
      <c r="L13" s="18"/>
      <c r="M13" s="18"/>
      <c r="N13" s="18"/>
      <c r="O13" s="18"/>
      <c r="P13" s="18"/>
      <c r="Q13" s="38">
        <f>+Q12/Q5</f>
        <v>1.4771937837285609</v>
      </c>
      <c r="R13" s="68"/>
      <c r="S13" s="38">
        <f>+S12/S5</f>
        <v>1.4771937837285609</v>
      </c>
      <c r="T13" s="68"/>
    </row>
    <row r="14" spans="2:20" x14ac:dyDescent="0.25">
      <c r="B14" s="20" t="s">
        <v>18</v>
      </c>
      <c r="C14" s="18"/>
      <c r="D14" s="8">
        <f>+D5/D11</f>
        <v>277.33666666666664</v>
      </c>
      <c r="E14" s="68"/>
      <c r="F14" s="95">
        <f>+F5/F11</f>
        <v>34.667083333333331</v>
      </c>
      <c r="G14" s="93"/>
      <c r="H14" s="18"/>
      <c r="I14" s="18"/>
      <c r="J14" s="18"/>
      <c r="K14" s="18"/>
      <c r="L14" s="18"/>
      <c r="M14" s="18"/>
      <c r="N14" s="18"/>
      <c r="O14" s="18"/>
      <c r="P14" s="18"/>
      <c r="Q14" s="39">
        <f>+Q5/Q11</f>
        <v>277.33666666666664</v>
      </c>
      <c r="R14" s="68"/>
      <c r="S14" s="39">
        <f>+S5/S11</f>
        <v>34.667083333333331</v>
      </c>
      <c r="T14" s="68"/>
    </row>
    <row r="15" spans="2:20" x14ac:dyDescent="0.25">
      <c r="B15" s="10" t="s">
        <v>47</v>
      </c>
      <c r="C15" s="18"/>
      <c r="D15" s="8">
        <f>+D12/D11</f>
        <v>409.68</v>
      </c>
      <c r="E15" s="68"/>
      <c r="F15" s="95">
        <f>+F12/F11</f>
        <v>51.21</v>
      </c>
      <c r="G15" s="93"/>
      <c r="H15" s="18"/>
      <c r="I15" s="18"/>
      <c r="J15" s="18"/>
      <c r="K15" s="18"/>
      <c r="L15" s="18"/>
      <c r="M15" s="18"/>
      <c r="N15" s="18"/>
      <c r="O15" s="18"/>
      <c r="P15" s="18"/>
      <c r="Q15" s="39">
        <f>+Q12/Q11</f>
        <v>409.68</v>
      </c>
      <c r="R15" s="68"/>
      <c r="S15" s="39">
        <f>+S12/S11</f>
        <v>51.21</v>
      </c>
      <c r="T15" s="68"/>
    </row>
    <row r="16" spans="2:20" x14ac:dyDescent="0.25">
      <c r="B16" s="20" t="s">
        <v>23</v>
      </c>
      <c r="C16" s="18"/>
      <c r="D16" s="36">
        <f>+D12/D7</f>
        <v>3.9016270874454113</v>
      </c>
      <c r="E16" s="68"/>
      <c r="F16" s="94">
        <f>+F12/F7</f>
        <v>3.9016270874454113</v>
      </c>
      <c r="G16" s="93"/>
      <c r="H16" s="18"/>
      <c r="I16" s="18"/>
      <c r="J16" s="18"/>
      <c r="K16" s="18"/>
      <c r="L16" s="18"/>
      <c r="M16" s="18"/>
      <c r="N16" s="18"/>
      <c r="O16" s="18"/>
      <c r="P16" s="18"/>
      <c r="Q16" s="38">
        <f>+Q12/Q7</f>
        <v>3.9016270874454113</v>
      </c>
      <c r="R16" s="68"/>
      <c r="S16" s="38">
        <f>+S12/S7</f>
        <v>3.9016270874454113</v>
      </c>
      <c r="T16" s="68"/>
    </row>
    <row r="17" spans="2:20" ht="7.5" customHeight="1" x14ac:dyDescent="0.25">
      <c r="B17" s="7"/>
      <c r="C17" s="18"/>
      <c r="D17" s="35"/>
      <c r="E17" s="68"/>
      <c r="F17" s="92"/>
      <c r="G17" s="93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68"/>
      <c r="S17" s="18"/>
      <c r="T17" s="68"/>
    </row>
    <row r="18" spans="2:20" x14ac:dyDescent="0.25">
      <c r="B18" s="19" t="s">
        <v>26</v>
      </c>
      <c r="C18" s="18"/>
      <c r="D18" s="11">
        <f>74449+13567</f>
        <v>88016</v>
      </c>
      <c r="E18" s="69">
        <f>74449+13567</f>
        <v>88016</v>
      </c>
      <c r="F18" s="90">
        <f t="shared" ref="F18:G20" si="4">+D18/8</f>
        <v>11002</v>
      </c>
      <c r="G18" s="96">
        <f t="shared" si="4"/>
        <v>11002</v>
      </c>
      <c r="H18" s="18"/>
      <c r="I18" s="18"/>
      <c r="J18" s="18"/>
      <c r="K18" s="18"/>
      <c r="L18" s="18"/>
      <c r="M18" s="18"/>
      <c r="N18" s="18"/>
      <c r="O18" s="18"/>
      <c r="P18" s="18"/>
      <c r="Q18" s="15">
        <f t="shared" ref="Q18:Q20" si="5">+D18+H18+J18+L18+N18</f>
        <v>88016</v>
      </c>
      <c r="R18" s="78">
        <f>+E18+I18+K18+M18</f>
        <v>88016</v>
      </c>
      <c r="S18" s="15">
        <f t="shared" ref="S18:T20" si="6">+Q18/$S$4</f>
        <v>11002</v>
      </c>
      <c r="T18" s="78">
        <f t="shared" si="6"/>
        <v>11002</v>
      </c>
    </row>
    <row r="19" spans="2:20" x14ac:dyDescent="0.25">
      <c r="B19" s="19" t="s">
        <v>46</v>
      </c>
      <c r="C19" s="18"/>
      <c r="D19" s="11">
        <f>5365.83+159+632</f>
        <v>6156.83</v>
      </c>
      <c r="E19" s="69">
        <f>5365.83+159+632</f>
        <v>6156.83</v>
      </c>
      <c r="F19" s="90">
        <f t="shared" si="4"/>
        <v>769.60374999999999</v>
      </c>
      <c r="G19" s="96">
        <f t="shared" si="4"/>
        <v>769.60374999999999</v>
      </c>
      <c r="H19" s="18"/>
      <c r="I19" s="18"/>
      <c r="J19" s="18"/>
      <c r="K19" s="18"/>
      <c r="L19" s="18"/>
      <c r="M19" s="18"/>
      <c r="N19" s="18"/>
      <c r="O19" s="18"/>
      <c r="P19" s="18"/>
      <c r="Q19" s="15">
        <f t="shared" si="5"/>
        <v>6156.83</v>
      </c>
      <c r="R19" s="78">
        <f>+E19+I19+K19+M19</f>
        <v>6156.83</v>
      </c>
      <c r="S19" s="15">
        <f t="shared" si="6"/>
        <v>769.60374999999999</v>
      </c>
      <c r="T19" s="78">
        <f t="shared" si="6"/>
        <v>769.60374999999999</v>
      </c>
    </row>
    <row r="20" spans="2:20" x14ac:dyDescent="0.25">
      <c r="B20" s="19" t="s">
        <v>31</v>
      </c>
      <c r="C20" s="18"/>
      <c r="D20" s="11">
        <f>45.42994+188.39163</f>
        <v>233.82157000000001</v>
      </c>
      <c r="E20" s="70">
        <f>196.97+5.816+23.395</f>
        <v>226.18100000000001</v>
      </c>
      <c r="F20" s="90">
        <f t="shared" si="4"/>
        <v>29.227696250000001</v>
      </c>
      <c r="G20" s="96">
        <f t="shared" si="4"/>
        <v>28.272625000000001</v>
      </c>
      <c r="H20" s="18"/>
      <c r="I20" s="18"/>
      <c r="J20" s="18"/>
      <c r="K20" s="18"/>
      <c r="L20" s="18"/>
      <c r="M20" s="18"/>
      <c r="N20" s="18"/>
      <c r="O20" s="18"/>
      <c r="P20" s="18"/>
      <c r="Q20" s="15">
        <f t="shared" si="5"/>
        <v>233.82157000000001</v>
      </c>
      <c r="R20" s="78">
        <f>+E20+I20+K20+M20</f>
        <v>226.18100000000001</v>
      </c>
      <c r="S20" s="15">
        <f t="shared" si="6"/>
        <v>29.227696250000001</v>
      </c>
      <c r="T20" s="78">
        <f t="shared" si="6"/>
        <v>28.272625000000001</v>
      </c>
    </row>
    <row r="21" spans="2:20" x14ac:dyDescent="0.25">
      <c r="B21" s="20" t="s">
        <v>21</v>
      </c>
      <c r="C21" s="18"/>
      <c r="D21" s="53">
        <f>+D20/D19*1000</f>
        <v>37.977590740689614</v>
      </c>
      <c r="E21" s="71">
        <f>+E20/E19*1000</f>
        <v>36.736599841152028</v>
      </c>
      <c r="F21" s="97">
        <f>+F20/F19*1000</f>
        <v>37.977590740689614</v>
      </c>
      <c r="G21" s="79">
        <f>+G20/G19*1000</f>
        <v>36.736599841152028</v>
      </c>
      <c r="H21" s="18"/>
      <c r="I21" s="18"/>
      <c r="J21" s="18"/>
      <c r="K21" s="18"/>
      <c r="L21" s="18"/>
      <c r="M21" s="18"/>
      <c r="N21" s="18"/>
      <c r="O21" s="18"/>
      <c r="P21" s="18"/>
      <c r="Q21" s="54">
        <f>+Q20/Q19*1000</f>
        <v>37.977590740689614</v>
      </c>
      <c r="R21" s="79">
        <f>+R20/R19*1000</f>
        <v>36.736599841152028</v>
      </c>
      <c r="S21" s="54">
        <f>+S20/S19*1000</f>
        <v>37.977590740689614</v>
      </c>
      <c r="T21" s="79">
        <f>+T20/T19*1000</f>
        <v>36.736599841152028</v>
      </c>
    </row>
    <row r="22" spans="2:20" x14ac:dyDescent="0.25">
      <c r="B22" s="20" t="s">
        <v>25</v>
      </c>
      <c r="C22" s="18"/>
      <c r="D22" s="55">
        <f>+D19/D18</f>
        <v>6.9951258862025079E-2</v>
      </c>
      <c r="E22" s="72"/>
      <c r="F22" s="98">
        <f>+F19/F18</f>
        <v>6.9951258862025079E-2</v>
      </c>
      <c r="G22" s="80"/>
      <c r="H22" s="18"/>
      <c r="I22" s="18"/>
      <c r="J22" s="18"/>
      <c r="K22" s="18"/>
      <c r="L22" s="18"/>
      <c r="M22" s="18"/>
      <c r="N22" s="18"/>
      <c r="O22" s="18"/>
      <c r="P22" s="18"/>
      <c r="Q22" s="56">
        <f>+Q19/Q18</f>
        <v>6.9951258862025079E-2</v>
      </c>
      <c r="R22" s="80"/>
      <c r="S22" s="56">
        <f>+S19/S18</f>
        <v>6.9951258862025079E-2</v>
      </c>
      <c r="T22" s="80"/>
    </row>
    <row r="23" spans="2:20" x14ac:dyDescent="0.25">
      <c r="B23" s="10" t="s">
        <v>32</v>
      </c>
      <c r="C23" s="10"/>
      <c r="D23" s="57">
        <f>+D20*1000/(D18*D21)*100</f>
        <v>6.9951258862025076</v>
      </c>
      <c r="E23" s="73"/>
      <c r="F23" s="99">
        <f>+F20/(F18*F21)*1000*100</f>
        <v>6.9951258862025076</v>
      </c>
      <c r="G23" s="81"/>
      <c r="H23" s="18"/>
      <c r="I23" s="18"/>
      <c r="J23" s="18"/>
      <c r="K23" s="18"/>
      <c r="L23" s="18"/>
      <c r="M23" s="18"/>
      <c r="N23" s="18"/>
      <c r="O23" s="18"/>
      <c r="P23" s="18"/>
      <c r="Q23" s="58">
        <f>+Q20/(Q18*Q21)*1000*100</f>
        <v>6.9951258862025076</v>
      </c>
      <c r="R23" s="81"/>
      <c r="S23" s="58">
        <f>+S20/(S18*S21)*1000*100</f>
        <v>6.9951258862025076</v>
      </c>
      <c r="T23" s="81"/>
    </row>
    <row r="24" spans="2:20" ht="7.5" customHeight="1" x14ac:dyDescent="0.25">
      <c r="B24" s="18"/>
      <c r="E24" s="74"/>
      <c r="F24" s="100"/>
      <c r="G24" s="101"/>
      <c r="R24" s="74"/>
      <c r="T24" s="74"/>
    </row>
    <row r="25" spans="2:20" x14ac:dyDescent="0.25">
      <c r="B25" s="22" t="s">
        <v>45</v>
      </c>
      <c r="C25" s="21"/>
      <c r="D25" s="23">
        <f>+D8/(1-D6/D5)</f>
        <v>5132.0145040050538</v>
      </c>
      <c r="E25" s="74"/>
      <c r="F25" s="102">
        <f>+F8/(1-F6/F5)</f>
        <v>641.50181300063173</v>
      </c>
      <c r="G25" s="101"/>
      <c r="Q25" s="34">
        <f>+Q8/(1-Q6/Q5)</f>
        <v>5132.0145040050538</v>
      </c>
      <c r="R25" s="82"/>
      <c r="S25" s="34">
        <f>+S8/(1-S6/S5)</f>
        <v>641.50181300063173</v>
      </c>
      <c r="T25" s="82"/>
    </row>
    <row r="26" spans="2:20" x14ac:dyDescent="0.25">
      <c r="F26" s="12"/>
    </row>
    <row r="27" spans="2:20" x14ac:dyDescent="0.25">
      <c r="F27" s="12"/>
    </row>
    <row r="28" spans="2:20" x14ac:dyDescent="0.25">
      <c r="F28" s="12"/>
    </row>
    <row r="29" spans="2:20" x14ac:dyDescent="0.25">
      <c r="F29" s="12"/>
    </row>
    <row r="30" spans="2:20" x14ac:dyDescent="0.25">
      <c r="F30" s="12"/>
    </row>
    <row r="31" spans="2:20" x14ac:dyDescent="0.25">
      <c r="F31" s="12"/>
    </row>
    <row r="32" spans="2:20" x14ac:dyDescent="0.25">
      <c r="F32" s="12"/>
    </row>
    <row r="33" spans="6:6" x14ac:dyDescent="0.25">
      <c r="F33" s="12"/>
    </row>
    <row r="34" spans="6:6" x14ac:dyDescent="0.25">
      <c r="F34" s="12"/>
    </row>
    <row r="35" spans="6:6" x14ac:dyDescent="0.25">
      <c r="F35" s="12"/>
    </row>
    <row r="36" spans="6:6" x14ac:dyDescent="0.25">
      <c r="F36" s="12"/>
    </row>
    <row r="37" spans="6:6" x14ac:dyDescent="0.25">
      <c r="F37" s="12"/>
    </row>
    <row r="38" spans="6:6" x14ac:dyDescent="0.25">
      <c r="F38" s="12"/>
    </row>
    <row r="39" spans="6:6" x14ac:dyDescent="0.25">
      <c r="F39" s="12"/>
    </row>
    <row r="40" spans="6:6" x14ac:dyDescent="0.25">
      <c r="F40" s="12"/>
    </row>
    <row r="41" spans="6:6" x14ac:dyDescent="0.25">
      <c r="F41" s="12"/>
    </row>
    <row r="42" spans="6:6" x14ac:dyDescent="0.25">
      <c r="F42" s="12"/>
    </row>
    <row r="43" spans="6:6" x14ac:dyDescent="0.25">
      <c r="F43" s="12"/>
    </row>
    <row r="44" spans="6:6" x14ac:dyDescent="0.25">
      <c r="F44" s="12"/>
    </row>
    <row r="45" spans="6:6" x14ac:dyDescent="0.25">
      <c r="F45" s="12"/>
    </row>
    <row r="46" spans="6:6" x14ac:dyDescent="0.25">
      <c r="F46" s="12"/>
    </row>
    <row r="47" spans="6:6" x14ac:dyDescent="0.25">
      <c r="F47" s="12"/>
    </row>
    <row r="48" spans="6:6" x14ac:dyDescent="0.25">
      <c r="F48" s="12"/>
    </row>
    <row r="49" spans="6:6" x14ac:dyDescent="0.25">
      <c r="F49" s="12"/>
    </row>
    <row r="50" spans="6:6" x14ac:dyDescent="0.25">
      <c r="F50" s="12"/>
    </row>
    <row r="51" spans="6:6" x14ac:dyDescent="0.25">
      <c r="F51" s="12"/>
    </row>
    <row r="52" spans="6:6" x14ac:dyDescent="0.25">
      <c r="F52" s="12"/>
    </row>
    <row r="53" spans="6:6" x14ac:dyDescent="0.25">
      <c r="F53" s="12"/>
    </row>
    <row r="54" spans="6:6" x14ac:dyDescent="0.25">
      <c r="F54" s="12"/>
    </row>
    <row r="55" spans="6:6" x14ac:dyDescent="0.25">
      <c r="F55" s="12"/>
    </row>
    <row r="56" spans="6:6" x14ac:dyDescent="0.25">
      <c r="F56" s="12"/>
    </row>
    <row r="57" spans="6:6" x14ac:dyDescent="0.25">
      <c r="F57" s="12"/>
    </row>
    <row r="58" spans="6:6" x14ac:dyDescent="0.25">
      <c r="F58" s="12"/>
    </row>
    <row r="59" spans="6:6" x14ac:dyDescent="0.25">
      <c r="F59" s="12"/>
    </row>
    <row r="60" spans="6:6" x14ac:dyDescent="0.25">
      <c r="F60" s="12"/>
    </row>
    <row r="61" spans="6:6" x14ac:dyDescent="0.25">
      <c r="F61" s="12"/>
    </row>
    <row r="62" spans="6:6" x14ac:dyDescent="0.25">
      <c r="F62" s="12"/>
    </row>
    <row r="63" spans="6:6" x14ac:dyDescent="0.25">
      <c r="F63" s="12"/>
    </row>
    <row r="64" spans="6:6" x14ac:dyDescent="0.25">
      <c r="F64" s="12"/>
    </row>
    <row r="65" spans="6:6" x14ac:dyDescent="0.25">
      <c r="F65" s="12"/>
    </row>
    <row r="66" spans="6:6" x14ac:dyDescent="0.25">
      <c r="F66" s="12"/>
    </row>
    <row r="67" spans="6:6" x14ac:dyDescent="0.25">
      <c r="F67" s="12"/>
    </row>
    <row r="68" spans="6:6" x14ac:dyDescent="0.25">
      <c r="F68" s="12"/>
    </row>
    <row r="69" spans="6:6" x14ac:dyDescent="0.25">
      <c r="F69" s="12"/>
    </row>
    <row r="70" spans="6:6" x14ac:dyDescent="0.25">
      <c r="F70" s="12"/>
    </row>
    <row r="71" spans="6:6" x14ac:dyDescent="0.25">
      <c r="F71" s="12"/>
    </row>
    <row r="72" spans="6:6" x14ac:dyDescent="0.25">
      <c r="F72" s="12"/>
    </row>
    <row r="73" spans="6:6" x14ac:dyDescent="0.25">
      <c r="F73" s="12"/>
    </row>
    <row r="74" spans="6:6" x14ac:dyDescent="0.25">
      <c r="F74" s="12"/>
    </row>
    <row r="75" spans="6:6" x14ac:dyDescent="0.25">
      <c r="F75" s="12"/>
    </row>
    <row r="76" spans="6:6" x14ac:dyDescent="0.25">
      <c r="F76" s="12"/>
    </row>
    <row r="77" spans="6:6" x14ac:dyDescent="0.25">
      <c r="F7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2013</vt:lpstr>
      <vt:lpstr>2014</vt:lpstr>
      <vt:lpstr>'2013'!Oblast_tisku</vt:lpstr>
      <vt:lpstr>'2014'!Oblast_tisku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ZdeHa</cp:lastModifiedBy>
  <cp:lastPrinted>2014-10-15T07:04:50Z</cp:lastPrinted>
  <dcterms:created xsi:type="dcterms:W3CDTF">2014-10-14T11:21:48Z</dcterms:created>
  <dcterms:modified xsi:type="dcterms:W3CDTF">2014-10-22T17:17:18Z</dcterms:modified>
</cp:coreProperties>
</file>