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3" sheetId="4" r:id="rId3"/>
    <sheet name="2014" sheetId="1" r:id="rId4"/>
  </sheets>
  <definedNames>
    <definedName name="_xlnm.Print_Area" localSheetId="2">'2013'!$A$1:$G$34</definedName>
    <definedName name="_xlnm.Print_Area" localSheetId="3">'2014'!$A$1:$G$34</definedName>
    <definedName name="_xlnm.Print_Area" localSheetId="1">CoM!$A$1:$G$34</definedName>
    <definedName name="_xlnm.Print_Area" localSheetId="0">CoY!$A$1:$G$34</definedName>
  </definedNames>
  <calcPr calcId="145621"/>
</workbook>
</file>

<file path=xl/calcChain.xml><?xml version="1.0" encoding="utf-8"?>
<calcChain xmlns="http://schemas.openxmlformats.org/spreadsheetml/2006/main">
  <c r="D20" i="4" l="1"/>
  <c r="D12" i="4"/>
  <c r="D8" i="4"/>
  <c r="D6" i="4"/>
  <c r="D5" i="4"/>
  <c r="D19" i="1"/>
  <c r="D20" i="1" l="1"/>
  <c r="D29" i="1"/>
  <c r="D28" i="1"/>
  <c r="D25" i="1"/>
  <c r="D25" i="6"/>
  <c r="D19" i="4"/>
  <c r="E20" i="1"/>
  <c r="E19" i="1"/>
  <c r="E18" i="1"/>
  <c r="D18" i="1"/>
  <c r="E20" i="4"/>
  <c r="E19" i="4"/>
  <c r="Q29" i="4"/>
  <c r="S29" i="4" s="1"/>
  <c r="Q28" i="4"/>
  <c r="S28" i="4" s="1"/>
  <c r="Q26" i="4"/>
  <c r="D26" i="5" s="1"/>
  <c r="Q25" i="4"/>
  <c r="Q27" i="4" s="1"/>
  <c r="D31" i="4"/>
  <c r="D30" i="4"/>
  <c r="D32" i="4" s="1"/>
  <c r="F29" i="4"/>
  <c r="D29" i="6" s="1"/>
  <c r="F28" i="4"/>
  <c r="D28" i="6" s="1"/>
  <c r="D27" i="4"/>
  <c r="F26" i="4"/>
  <c r="D26" i="6" s="1"/>
  <c r="F25" i="4"/>
  <c r="F27" i="4" s="1"/>
  <c r="S26" i="4" l="1"/>
  <c r="S25" i="4"/>
  <c r="S27" i="4" s="1"/>
  <c r="D25" i="5"/>
  <c r="D27" i="5" s="1"/>
  <c r="Q31" i="4"/>
  <c r="D29" i="5"/>
  <c r="D28" i="5"/>
  <c r="D30" i="6"/>
  <c r="D30" i="5"/>
  <c r="S30" i="4"/>
  <c r="S32" i="4" s="1"/>
  <c r="Q30" i="4"/>
  <c r="Q32" i="4" s="1"/>
  <c r="F31" i="4"/>
  <c r="F30" i="4"/>
  <c r="F32" i="4" s="1"/>
  <c r="Q29" i="1"/>
  <c r="F29" i="5" s="1"/>
  <c r="Q28" i="1"/>
  <c r="F28" i="5" s="1"/>
  <c r="Q26" i="1"/>
  <c r="F26" i="5" s="1"/>
  <c r="Q25" i="1"/>
  <c r="F25" i="5" s="1"/>
  <c r="F27" i="5" s="1"/>
  <c r="F26" i="1"/>
  <c r="F26" i="6" s="1"/>
  <c r="H26" i="6" s="1"/>
  <c r="D27" i="1"/>
  <c r="D31" i="1"/>
  <c r="D30" i="1"/>
  <c r="D32" i="1" s="1"/>
  <c r="F29" i="1"/>
  <c r="F29" i="6" s="1"/>
  <c r="I29" i="6" s="1"/>
  <c r="F28" i="1"/>
  <c r="F28" i="6" s="1"/>
  <c r="H28" i="6" s="1"/>
  <c r="F25" i="1"/>
  <c r="F25" i="6" s="1"/>
  <c r="D5" i="1"/>
  <c r="D6" i="1"/>
  <c r="Q6" i="1" s="1"/>
  <c r="F11" i="6"/>
  <c r="D11" i="6"/>
  <c r="F11" i="5"/>
  <c r="D11" i="5"/>
  <c r="R20" i="4"/>
  <c r="E20" i="5" s="1"/>
  <c r="Q20" i="4"/>
  <c r="D20" i="5" s="1"/>
  <c r="R19" i="4"/>
  <c r="E19" i="5" s="1"/>
  <c r="Q19" i="4"/>
  <c r="D19" i="5" s="1"/>
  <c r="R18" i="4"/>
  <c r="T18" i="4" s="1"/>
  <c r="Q18" i="4"/>
  <c r="S18" i="4" s="1"/>
  <c r="Q12" i="4"/>
  <c r="D12" i="5" s="1"/>
  <c r="S11" i="4"/>
  <c r="Q8" i="4"/>
  <c r="D8" i="5" s="1"/>
  <c r="Q6" i="4"/>
  <c r="S6" i="4" s="1"/>
  <c r="Q5" i="4"/>
  <c r="Q14" i="4" s="1"/>
  <c r="S11" i="1"/>
  <c r="R20" i="1"/>
  <c r="G20" i="5" s="1"/>
  <c r="R19" i="1"/>
  <c r="R18" i="1"/>
  <c r="G18" i="5" s="1"/>
  <c r="Q19" i="1"/>
  <c r="F19" i="5" s="1"/>
  <c r="Q18" i="1"/>
  <c r="S18" i="1" s="1"/>
  <c r="Q12" i="1"/>
  <c r="F12" i="5" s="1"/>
  <c r="Q5" i="1"/>
  <c r="F5" i="5" s="1"/>
  <c r="D13" i="4"/>
  <c r="D22" i="4"/>
  <c r="E21" i="4"/>
  <c r="D21" i="4"/>
  <c r="D23" i="4" s="1"/>
  <c r="G20" i="4"/>
  <c r="E20" i="6" s="1"/>
  <c r="F20" i="4"/>
  <c r="D20" i="6" s="1"/>
  <c r="G19" i="4"/>
  <c r="E19" i="6" s="1"/>
  <c r="F19" i="4"/>
  <c r="D19" i="6" s="1"/>
  <c r="G18" i="4"/>
  <c r="E18" i="6" s="1"/>
  <c r="F18" i="4"/>
  <c r="D15" i="4"/>
  <c r="D14" i="4"/>
  <c r="F12" i="4"/>
  <c r="D12" i="6" s="1"/>
  <c r="D9" i="4"/>
  <c r="Q9" i="4" s="1"/>
  <c r="S9" i="4" s="1"/>
  <c r="F5" i="4"/>
  <c r="F14" i="4" s="1"/>
  <c r="E5" i="4"/>
  <c r="G18" i="1"/>
  <c r="G18" i="6" s="1"/>
  <c r="F18" i="1"/>
  <c r="F18" i="6" s="1"/>
  <c r="Q8" i="1"/>
  <c r="G20" i="1"/>
  <c r="G20" i="6" s="1"/>
  <c r="G19" i="1"/>
  <c r="G19" i="6" s="1"/>
  <c r="F19" i="1"/>
  <c r="F19" i="6" s="1"/>
  <c r="E21" i="1"/>
  <c r="D21" i="1"/>
  <c r="F27" i="6" l="1"/>
  <c r="I26" i="5"/>
  <c r="H26" i="5"/>
  <c r="S26" i="1"/>
  <c r="I26" i="6"/>
  <c r="I25" i="6"/>
  <c r="F30" i="5"/>
  <c r="H29" i="6"/>
  <c r="S29" i="1"/>
  <c r="F30" i="1"/>
  <c r="F32" i="1" s="1"/>
  <c r="F30" i="6"/>
  <c r="H30" i="6" s="1"/>
  <c r="I28" i="6"/>
  <c r="Q30" i="1"/>
  <c r="Q32" i="1" s="1"/>
  <c r="S28" i="1"/>
  <c r="F27" i="1"/>
  <c r="S25" i="1"/>
  <c r="F32" i="5"/>
  <c r="F32" i="6"/>
  <c r="F31" i="5"/>
  <c r="H31" i="5" s="1"/>
  <c r="F31" i="1"/>
  <c r="Q27" i="1"/>
  <c r="Q31" i="1"/>
  <c r="F31" i="6"/>
  <c r="H27" i="5"/>
  <c r="I27" i="5"/>
  <c r="H25" i="5"/>
  <c r="I25" i="5"/>
  <c r="D31" i="5"/>
  <c r="I31" i="5" s="1"/>
  <c r="S31" i="4"/>
  <c r="I29" i="5"/>
  <c r="H29" i="5"/>
  <c r="D32" i="5"/>
  <c r="I30" i="5"/>
  <c r="H30" i="5"/>
  <c r="I28" i="5"/>
  <c r="H28" i="5"/>
  <c r="E18" i="5"/>
  <c r="D18" i="5"/>
  <c r="D22" i="5" s="1"/>
  <c r="D18" i="6"/>
  <c r="D22" i="6" s="1"/>
  <c r="D32" i="6"/>
  <c r="H32" i="6" s="1"/>
  <c r="D31" i="6"/>
  <c r="H31" i="6" s="1"/>
  <c r="D27" i="6"/>
  <c r="H27" i="6" s="1"/>
  <c r="Q22" i="4"/>
  <c r="H25" i="6"/>
  <c r="I31" i="6"/>
  <c r="I27" i="6"/>
  <c r="D6" i="5"/>
  <c r="D9" i="5" s="1"/>
  <c r="E9" i="5" s="1"/>
  <c r="Q34" i="4"/>
  <c r="D5" i="5"/>
  <c r="D5" i="6"/>
  <c r="D14" i="6" s="1"/>
  <c r="D15" i="5"/>
  <c r="D21" i="5"/>
  <c r="D23" i="5" s="1"/>
  <c r="E21" i="5"/>
  <c r="H18" i="6"/>
  <c r="H11" i="5"/>
  <c r="R21" i="1"/>
  <c r="I11" i="5"/>
  <c r="S6" i="1"/>
  <c r="R6" i="1"/>
  <c r="F6" i="5"/>
  <c r="F14" i="5"/>
  <c r="I5" i="5"/>
  <c r="S8" i="1"/>
  <c r="Q34" i="1"/>
  <c r="R8" i="1"/>
  <c r="F8" i="5"/>
  <c r="I12" i="5"/>
  <c r="H12" i="5"/>
  <c r="H19" i="5"/>
  <c r="I19" i="5"/>
  <c r="R5" i="1"/>
  <c r="Q13" i="1"/>
  <c r="Q15" i="1"/>
  <c r="Q20" i="1"/>
  <c r="Q22" i="1"/>
  <c r="S5" i="1"/>
  <c r="S14" i="1" s="1"/>
  <c r="S12" i="1"/>
  <c r="S19" i="1"/>
  <c r="S22" i="1" s="1"/>
  <c r="T19" i="1"/>
  <c r="F18" i="5"/>
  <c r="G19" i="5"/>
  <c r="Q14" i="1"/>
  <c r="T18" i="1"/>
  <c r="T20" i="1"/>
  <c r="G21" i="6"/>
  <c r="E21" i="6"/>
  <c r="H19" i="6"/>
  <c r="H11" i="6"/>
  <c r="E5" i="6"/>
  <c r="I11" i="6"/>
  <c r="I18" i="6"/>
  <c r="I19" i="6"/>
  <c r="F22" i="6"/>
  <c r="D13" i="6"/>
  <c r="D15" i="6"/>
  <c r="D21" i="6"/>
  <c r="G21" i="5"/>
  <c r="F22" i="5"/>
  <c r="H5" i="5"/>
  <c r="R5" i="4"/>
  <c r="S8" i="4"/>
  <c r="R9" i="4"/>
  <c r="S12" i="4"/>
  <c r="T19" i="4"/>
  <c r="T20" i="4"/>
  <c r="R21" i="4"/>
  <c r="S5" i="4"/>
  <c r="S14" i="4" s="1"/>
  <c r="R6" i="4"/>
  <c r="R8" i="4"/>
  <c r="Q13" i="4"/>
  <c r="Q15" i="4"/>
  <c r="S19" i="4"/>
  <c r="S22" i="4" s="1"/>
  <c r="S20" i="4"/>
  <c r="Q21" i="4"/>
  <c r="Q23" i="4" s="1"/>
  <c r="G5" i="5"/>
  <c r="E6" i="5"/>
  <c r="E8" i="5"/>
  <c r="D7" i="5"/>
  <c r="F13" i="5"/>
  <c r="F15" i="5"/>
  <c r="G21" i="4"/>
  <c r="F21" i="4"/>
  <c r="F23" i="4" s="1"/>
  <c r="F22" i="4"/>
  <c r="D34" i="4"/>
  <c r="F9" i="4"/>
  <c r="G9" i="4" s="1"/>
  <c r="E9" i="4"/>
  <c r="D7" i="4"/>
  <c r="Q7" i="4" s="1"/>
  <c r="S7" i="4" s="1"/>
  <c r="G5" i="4"/>
  <c r="E6" i="4"/>
  <c r="E8" i="4"/>
  <c r="F6" i="4"/>
  <c r="F8" i="4"/>
  <c r="D8" i="6" s="1"/>
  <c r="E8" i="6" s="1"/>
  <c r="F13" i="4"/>
  <c r="F15" i="4"/>
  <c r="G21" i="1"/>
  <c r="F22" i="1"/>
  <c r="D23" i="1"/>
  <c r="D22" i="1"/>
  <c r="F20" i="1"/>
  <c r="F20" i="6" s="1"/>
  <c r="F21" i="6" s="1"/>
  <c r="F23" i="6" s="1"/>
  <c r="F12" i="1"/>
  <c r="F12" i="6" s="1"/>
  <c r="H12" i="6" s="1"/>
  <c r="D15" i="1"/>
  <c r="D14" i="1"/>
  <c r="D13" i="1"/>
  <c r="F8" i="1"/>
  <c r="F8" i="6" s="1"/>
  <c r="E8" i="1"/>
  <c r="F5" i="1"/>
  <c r="F5" i="6" s="1"/>
  <c r="I5" i="6" s="1"/>
  <c r="E5" i="1"/>
  <c r="D34" i="1"/>
  <c r="I30" i="6" l="1"/>
  <c r="S30" i="1"/>
  <c r="S32" i="1" s="1"/>
  <c r="S31" i="1"/>
  <c r="S27" i="1"/>
  <c r="I32" i="5"/>
  <c r="H32" i="5"/>
  <c r="I32" i="6"/>
  <c r="I6" i="5"/>
  <c r="G6" i="4"/>
  <c r="D6" i="6"/>
  <c r="E6" i="6" s="1"/>
  <c r="D14" i="5"/>
  <c r="I14" i="5" s="1"/>
  <c r="E5" i="5"/>
  <c r="R7" i="4"/>
  <c r="Q16" i="4"/>
  <c r="D13" i="5"/>
  <c r="D34" i="5"/>
  <c r="I20" i="6"/>
  <c r="J21" i="6"/>
  <c r="T21" i="1"/>
  <c r="F7" i="5"/>
  <c r="H7" i="5" s="1"/>
  <c r="I18" i="5"/>
  <c r="H18" i="5"/>
  <c r="S20" i="1"/>
  <c r="S21" i="1" s="1"/>
  <c r="S23" i="1" s="1"/>
  <c r="Q21" i="1"/>
  <c r="Q23" i="1" s="1"/>
  <c r="F20" i="5"/>
  <c r="I8" i="5"/>
  <c r="H8" i="5"/>
  <c r="I7" i="5"/>
  <c r="H8" i="6"/>
  <c r="I15" i="5"/>
  <c r="H15" i="5"/>
  <c r="H22" i="5"/>
  <c r="I22" i="5"/>
  <c r="I13" i="5"/>
  <c r="H13" i="5"/>
  <c r="K21" i="5"/>
  <c r="J21" i="5"/>
  <c r="S15" i="1"/>
  <c r="S13" i="1"/>
  <c r="H21" i="6"/>
  <c r="F14" i="6"/>
  <c r="I14" i="6" s="1"/>
  <c r="I12" i="6"/>
  <c r="I8" i="6"/>
  <c r="G5" i="6"/>
  <c r="H20" i="6"/>
  <c r="H5" i="6"/>
  <c r="F15" i="6"/>
  <c r="I15" i="6" s="1"/>
  <c r="F13" i="6"/>
  <c r="I13" i="6" s="1"/>
  <c r="G8" i="6"/>
  <c r="S34" i="1"/>
  <c r="F9" i="5"/>
  <c r="K21" i="6"/>
  <c r="H22" i="6"/>
  <c r="I22" i="6"/>
  <c r="D23" i="6"/>
  <c r="I23" i="6" s="1"/>
  <c r="I21" i="6"/>
  <c r="H15" i="6"/>
  <c r="G6" i="5"/>
  <c r="H6" i="5"/>
  <c r="S21" i="4"/>
  <c r="S23" i="4" s="1"/>
  <c r="T21" i="4"/>
  <c r="S16" i="4"/>
  <c r="S15" i="4"/>
  <c r="S13" i="4"/>
  <c r="S34" i="4"/>
  <c r="D16" i="5"/>
  <c r="E7" i="5"/>
  <c r="F34" i="5"/>
  <c r="G8" i="5"/>
  <c r="F34" i="4"/>
  <c r="G8" i="4"/>
  <c r="F7" i="4"/>
  <c r="D7" i="6" s="1"/>
  <c r="E7" i="6" s="1"/>
  <c r="D16" i="4"/>
  <c r="E7" i="4"/>
  <c r="F21" i="1"/>
  <c r="F23" i="1" s="1"/>
  <c r="G8" i="1"/>
  <c r="D9" i="1"/>
  <c r="Q9" i="1" s="1"/>
  <c r="F13" i="1"/>
  <c r="F15" i="1"/>
  <c r="D7" i="1"/>
  <c r="Q7" i="1" s="1"/>
  <c r="E6" i="1"/>
  <c r="F6" i="1"/>
  <c r="F14" i="1"/>
  <c r="G5" i="1"/>
  <c r="H14" i="6" l="1"/>
  <c r="H14" i="5"/>
  <c r="H23" i="6"/>
  <c r="H13" i="6"/>
  <c r="D9" i="6"/>
  <c r="E9" i="6" s="1"/>
  <c r="D34" i="6"/>
  <c r="D16" i="6"/>
  <c r="F34" i="1"/>
  <c r="F6" i="6"/>
  <c r="S7" i="1"/>
  <c r="S16" i="1" s="1"/>
  <c r="R7" i="1"/>
  <c r="Q16" i="1"/>
  <c r="I20" i="5"/>
  <c r="F21" i="5"/>
  <c r="F23" i="5" s="1"/>
  <c r="H20" i="5"/>
  <c r="S9" i="1"/>
  <c r="R9" i="1"/>
  <c r="I34" i="5"/>
  <c r="H34" i="5"/>
  <c r="I9" i="5"/>
  <c r="H9" i="5"/>
  <c r="G9" i="5"/>
  <c r="G7" i="5"/>
  <c r="F16" i="5"/>
  <c r="G7" i="4"/>
  <c r="F16" i="4"/>
  <c r="F9" i="1"/>
  <c r="G9" i="1" s="1"/>
  <c r="E9" i="1"/>
  <c r="E7" i="1"/>
  <c r="D16" i="1"/>
  <c r="G6" i="1"/>
  <c r="F7" i="1"/>
  <c r="F7" i="6" s="1"/>
  <c r="I23" i="5" l="1"/>
  <c r="H23" i="5"/>
  <c r="I21" i="5"/>
  <c r="H21" i="5"/>
  <c r="F16" i="6"/>
  <c r="I7" i="6"/>
  <c r="H7" i="6"/>
  <c r="G7" i="6"/>
  <c r="I16" i="5"/>
  <c r="H16" i="5"/>
  <c r="H6" i="6"/>
  <c r="I6" i="6"/>
  <c r="G6" i="6"/>
  <c r="F9" i="6"/>
  <c r="F34" i="6"/>
  <c r="G7" i="1"/>
  <c r="F16" i="1"/>
  <c r="I16" i="6" l="1"/>
  <c r="H16" i="6"/>
  <c r="H34" i="6"/>
  <c r="I34" i="6"/>
  <c r="G9" i="6"/>
  <c r="H9" i="6"/>
  <c r="I9" i="6"/>
</calcChain>
</file>

<file path=xl/sharedStrings.xml><?xml version="1.0" encoding="utf-8"?>
<sst xmlns="http://schemas.openxmlformats.org/spreadsheetml/2006/main" count="218" uniqueCount="55">
  <si>
    <t>FNOL</t>
  </si>
  <si>
    <t>tis. Kč</t>
  </si>
  <si>
    <t>skutečnost</t>
  </si>
  <si>
    <t xml:space="preserve"> 1 - 8 2014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</si>
  <si>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</si>
  <si>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</si>
  <si>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</si>
  <si>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</si>
  <si>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</si>
  <si>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</si>
  <si>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</si>
  <si>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</si>
  <si>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</si>
  <si>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</si>
  <si>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</si>
  <si>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</si>
  <si>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</si>
  <si>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</si>
  <si>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</si>
  <si>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</si>
  <si>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</si>
  <si>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</si>
  <si>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</si>
  <si>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</si>
  <si>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</si>
  <si>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</si>
  <si>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 xml:space="preserve"> 1 - 8 2013</t>
  </si>
  <si>
    <t xml:space="preserve"> září 2013</t>
  </si>
  <si>
    <t xml:space="preserve"> říjen 2013</t>
  </si>
  <si>
    <t xml:space="preserve"> listopad 2013</t>
  </si>
  <si>
    <t xml:space="preserve"> prosinec 2013</t>
  </si>
  <si>
    <t>index</t>
  </si>
  <si>
    <t>hodnota</t>
  </si>
  <si>
    <t>2014/2013</t>
  </si>
  <si>
    <t>2014 - 2013</t>
  </si>
  <si>
    <t>počet měsíců</t>
  </si>
  <si>
    <t xml:space="preserve"> srpen 2013</t>
  </si>
  <si>
    <t xml:space="preserve"> srpen 2014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</si>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</sst>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2" fontId="9" fillId="0" borderId="0" xfId="0" applyNumberFormat="1" applyFont="1"/>
    <xf numFmtId="0" fontId="23" fillId="0" borderId="2" xfId="0" applyFont="1" applyBorder="1"/>
    <xf numFmtId="0" fontId="3" fillId="0" borderId="2" xfId="0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2" fillId="0" borderId="2" xfId="0" applyNumberFormat="1" applyFont="1" applyBorder="1"/>
    <xf numFmtId="165" fontId="9" fillId="0" borderId="2" xfId="0" applyNumberFormat="1" applyFont="1" applyBorder="1"/>
    <xf numFmtId="3" fontId="8" fillId="0" borderId="2" xfId="0" applyNumberFormat="1" applyFont="1" applyBorder="1"/>
    <xf numFmtId="164" fontId="9" fillId="0" borderId="2" xfId="0" applyNumberFormat="1" applyFont="1" applyBorder="1" applyAlignment="1"/>
    <xf numFmtId="3" fontId="9" fillId="0" borderId="2" xfId="0" applyNumberFormat="1" applyFont="1" applyBorder="1" applyAlignment="1"/>
    <xf numFmtId="166" fontId="9" fillId="0" borderId="2" xfId="0" applyNumberFormat="1" applyFont="1" applyBorder="1" applyAlignment="1"/>
    <xf numFmtId="2" fontId="9" fillId="0" borderId="2" xfId="0" applyNumberFormat="1" applyFont="1" applyBorder="1"/>
    <xf numFmtId="4" fontId="11" fillId="0" borderId="2" xfId="0" applyNumberFormat="1" applyFont="1" applyBorder="1"/>
    <xf numFmtId="3" fontId="0" fillId="0" borderId="2" xfId="0" applyNumberFormat="1" applyBorder="1"/>
    <xf numFmtId="4" fontId="9" fillId="0" borderId="2" xfId="0" applyNumberFormat="1" applyFont="1" applyBorder="1"/>
    <xf numFmtId="3" fontId="14" fillId="0" borderId="2" xfId="0" applyNumberFormat="1" applyFont="1" applyBorder="1"/>
    <xf numFmtId="0" fontId="24" fillId="0" borderId="0" xfId="0" applyFont="1" applyBorder="1" applyAlignment="1">
      <alignment horizontal="center"/>
    </xf>
    <xf numFmtId="10" fontId="25" fillId="0" borderId="0" xfId="1" applyNumberFormat="1" applyFont="1" applyBorder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4" fontId="30" fillId="0" borderId="0" xfId="0" applyNumberFormat="1" applyFont="1"/>
    <xf numFmtId="0" fontId="31" fillId="0" borderId="0" xfId="0" applyFont="1"/>
    <xf numFmtId="3" fontId="26" fillId="0" borderId="0" xfId="0" applyNumberFormat="1" applyFont="1" applyAlignment="1"/>
    <xf numFmtId="164" fontId="26" fillId="0" borderId="0" xfId="0" applyNumberFormat="1" applyFont="1" applyBorder="1"/>
    <xf numFmtId="164" fontId="27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4" fontId="30" fillId="0" borderId="0" xfId="0" applyNumberFormat="1" applyFont="1" applyBorder="1"/>
    <xf numFmtId="0" fontId="31" fillId="0" borderId="0" xfId="0" applyFont="1" applyBorder="1"/>
    <xf numFmtId="164" fontId="15" fillId="0" borderId="0" xfId="0" applyNumberFormat="1" applyFont="1"/>
    <xf numFmtId="3" fontId="27" fillId="0" borderId="0" xfId="0" applyNumberFormat="1" applyFont="1"/>
    <xf numFmtId="3" fontId="32" fillId="0" borderId="0" xfId="0" applyNumberFormat="1" applyFont="1" applyBorder="1"/>
    <xf numFmtId="0" fontId="8" fillId="0" borderId="2" xfId="0" applyFont="1" applyBorder="1"/>
    <xf numFmtId="0" fontId="22" fillId="0" borderId="0" xfId="0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6" fontId="26" fillId="0" borderId="0" xfId="0" applyNumberFormat="1" applyFont="1" applyAlignment="1"/>
    <xf numFmtId="2" fontId="26" fillId="0" borderId="0" xfId="0" applyNumberFormat="1" applyFont="1"/>
    <xf numFmtId="167" fontId="9" fillId="0" borderId="0" xfId="0" applyNumberFormat="1" applyFont="1"/>
    <xf numFmtId="164" fontId="17" fillId="0" borderId="0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6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21" sqref="D21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 x14ac:dyDescent="0.25">
      <c r="B1" s="2" t="s">
        <v>0</v>
      </c>
      <c r="H1" s="27"/>
    </row>
    <row r="2" spans="2:19" x14ac:dyDescent="0.25">
      <c r="B2" s="49" t="s">
        <v>38</v>
      </c>
      <c r="D2" s="3" t="s">
        <v>2</v>
      </c>
      <c r="E2" s="5" t="s">
        <v>22</v>
      </c>
      <c r="F2" s="3" t="s">
        <v>2</v>
      </c>
      <c r="G2" s="5" t="s">
        <v>22</v>
      </c>
      <c r="H2" s="28" t="s">
        <v>31</v>
      </c>
      <c r="I2" s="1" t="s">
        <v>32</v>
      </c>
      <c r="J2" s="3"/>
      <c r="K2" s="5"/>
      <c r="L2" s="3"/>
      <c r="M2" s="5"/>
      <c r="N2" s="3"/>
      <c r="Q2" s="3"/>
      <c r="R2" s="5"/>
      <c r="S2" s="1"/>
    </row>
    <row r="3" spans="2:19" x14ac:dyDescent="0.25">
      <c r="B3" s="51" t="s">
        <v>1</v>
      </c>
      <c r="D3" s="4" t="s">
        <v>26</v>
      </c>
      <c r="E3" s="25" t="s">
        <v>23</v>
      </c>
      <c r="F3" s="4" t="s">
        <v>3</v>
      </c>
      <c r="G3" s="6" t="s">
        <v>23</v>
      </c>
      <c r="H3" s="29" t="s">
        <v>33</v>
      </c>
      <c r="I3" s="26" t="s">
        <v>34</v>
      </c>
      <c r="J3" s="4"/>
      <c r="K3" s="6"/>
      <c r="L3" s="4"/>
      <c r="M3" s="6"/>
      <c r="N3" s="4"/>
      <c r="Q3" s="4"/>
      <c r="R3" s="6"/>
    </row>
    <row r="4" spans="2:19" x14ac:dyDescent="0.25">
      <c r="B4" s="52">
        <v>9404</v>
      </c>
      <c r="D4" s="24" t="s">
        <v>24</v>
      </c>
      <c r="E4" s="3" t="s">
        <v>25</v>
      </c>
      <c r="F4" s="24" t="s">
        <v>24</v>
      </c>
      <c r="G4" s="3" t="s">
        <v>25</v>
      </c>
      <c r="H4" s="27"/>
    </row>
    <row r="5" spans="2:19" x14ac:dyDescent="0.25">
      <c r="B5" s="10" t="s">
        <v>4</v>
      </c>
      <c r="C5" s="18"/>
      <c r="D5" s="8">
        <f>+'2013'!Q5</f>
        <v>6920.5789999999997</v>
      </c>
      <c r="E5" s="83">
        <f>+D5/$D$5</f>
        <v>1</v>
      </c>
      <c r="F5" s="13">
        <f>+'2014'!Q5</f>
        <v>6308.15949</v>
      </c>
      <c r="G5" s="83">
        <f>+F5/$F$5</f>
        <v>1</v>
      </c>
      <c r="H5" s="30">
        <f t="shared" ref="H5:H27" si="0">+F5/D5</f>
        <v>0.91150747502484986</v>
      </c>
      <c r="I5" s="17">
        <f>+F5-D5</f>
        <v>-612.41950999999972</v>
      </c>
      <c r="J5" s="18"/>
      <c r="K5" s="18"/>
    </row>
    <row r="6" spans="2:19" x14ac:dyDescent="0.25">
      <c r="B6" s="7" t="s">
        <v>5</v>
      </c>
      <c r="C6" s="18"/>
      <c r="D6" s="11">
        <f>+'2013'!Q6</f>
        <v>1083.26423</v>
      </c>
      <c r="E6" s="84">
        <f>+D6/$D$5</f>
        <v>0.15652797692216217</v>
      </c>
      <c r="F6" s="15">
        <f>+'2014'!Q6</f>
        <v>942.88518999999997</v>
      </c>
      <c r="G6" s="84">
        <f>+F6/$F$5</f>
        <v>0.14947072779226767</v>
      </c>
      <c r="H6" s="40">
        <f t="shared" si="0"/>
        <v>0.87041108151424884</v>
      </c>
      <c r="I6" s="43">
        <f>+F6-D6</f>
        <v>-140.37904000000003</v>
      </c>
      <c r="J6" s="18"/>
      <c r="K6" s="18"/>
    </row>
    <row r="7" spans="2:19" x14ac:dyDescent="0.25">
      <c r="B7" s="10" t="s">
        <v>8</v>
      </c>
      <c r="C7" s="18"/>
      <c r="D7" s="8">
        <f>+D5-D6</f>
        <v>5837.31477</v>
      </c>
      <c r="E7" s="85">
        <f>+D7/$D$5</f>
        <v>0.84347202307783786</v>
      </c>
      <c r="F7" s="8">
        <f>+F5-F6</f>
        <v>5365.2743</v>
      </c>
      <c r="G7" s="85">
        <f>+F7/$F$5</f>
        <v>0.85052927220773233</v>
      </c>
      <c r="H7" s="42">
        <f t="shared" si="0"/>
        <v>0.9191339702244633</v>
      </c>
      <c r="I7" s="17">
        <f>+F7-D7</f>
        <v>-472.04046999999991</v>
      </c>
      <c r="J7" s="18"/>
      <c r="K7" s="18"/>
    </row>
    <row r="8" spans="2:19" x14ac:dyDescent="0.25">
      <c r="B8" s="7" t="s">
        <v>6</v>
      </c>
      <c r="C8" s="18"/>
      <c r="D8" s="11">
        <f>+'2013'!Q8</f>
        <v>5109.4529999999995</v>
      </c>
      <c r="E8" s="84">
        <f>+D8/$D$5</f>
        <v>0.73829848629717254</v>
      </c>
      <c r="F8" s="15">
        <f>+'2014'!Q8</f>
        <v>5389.9715699999997</v>
      </c>
      <c r="G8" s="84">
        <f>+F8/$F$5</f>
        <v>0.85444440308531255</v>
      </c>
      <c r="H8" s="40">
        <f t="shared" si="0"/>
        <v>1.0549018789291145</v>
      </c>
      <c r="I8" s="43">
        <f>+F8-D8</f>
        <v>280.51857000000018</v>
      </c>
      <c r="J8" s="18"/>
      <c r="K8" s="18"/>
    </row>
    <row r="9" spans="2:19" x14ac:dyDescent="0.25">
      <c r="B9" s="20" t="s">
        <v>16</v>
      </c>
      <c r="C9" s="18"/>
      <c r="D9" s="16">
        <f>+D5-D6-D8</f>
        <v>727.86177000000043</v>
      </c>
      <c r="E9" s="83">
        <f>+D9/$D$5</f>
        <v>0.10517353678066538</v>
      </c>
      <c r="F9" s="16">
        <f>+F5-F6-F8</f>
        <v>-24.697269999999662</v>
      </c>
      <c r="G9" s="83">
        <f>+F9/$F$5</f>
        <v>-3.9151308775802153E-3</v>
      </c>
      <c r="H9" s="42">
        <f t="shared" si="0"/>
        <v>-3.3931264173964852E-2</v>
      </c>
      <c r="I9" s="17">
        <f>+F9-D9</f>
        <v>-752.5590400000001</v>
      </c>
      <c r="J9" s="18"/>
      <c r="K9" s="18"/>
    </row>
    <row r="10" spans="2:19" ht="7.5" customHeight="1" x14ac:dyDescent="0.25">
      <c r="B10" s="18"/>
      <c r="C10" s="18"/>
      <c r="D10" s="35"/>
      <c r="E10" s="86"/>
      <c r="F10" s="31"/>
      <c r="G10" s="86"/>
      <c r="H10" s="41"/>
      <c r="I10" s="18"/>
      <c r="J10" s="18"/>
      <c r="K10" s="18"/>
    </row>
    <row r="11" spans="2:19" x14ac:dyDescent="0.25">
      <c r="B11" s="19" t="s">
        <v>19</v>
      </c>
      <c r="C11" s="18"/>
      <c r="D11" s="35">
        <f>+'2013'!Q11</f>
        <v>17</v>
      </c>
      <c r="E11" s="86"/>
      <c r="F11" s="31">
        <f>+'2014'!Q11</f>
        <v>17</v>
      </c>
      <c r="G11" s="86"/>
      <c r="H11" s="40">
        <f t="shared" si="0"/>
        <v>1</v>
      </c>
      <c r="I11" s="43">
        <f t="shared" ref="I11:I16" si="1">+F11-D11</f>
        <v>0</v>
      </c>
      <c r="J11" s="18"/>
      <c r="K11" s="18"/>
    </row>
    <row r="12" spans="2:19" x14ac:dyDescent="0.25">
      <c r="B12" s="19" t="s">
        <v>17</v>
      </c>
      <c r="C12" s="18"/>
      <c r="D12" s="35">
        <f>+'2013'!Q12</f>
        <v>3962.0889999999999</v>
      </c>
      <c r="E12" s="86"/>
      <c r="F12" s="15">
        <f>+'2014'!Q12</f>
        <v>4033.0340000000001</v>
      </c>
      <c r="G12" s="86"/>
      <c r="H12" s="40">
        <f t="shared" si="0"/>
        <v>1.0179059581952854</v>
      </c>
      <c r="I12" s="43">
        <f t="shared" si="1"/>
        <v>70.945000000000164</v>
      </c>
      <c r="J12" s="18"/>
      <c r="K12" s="18"/>
    </row>
    <row r="13" spans="2:19" x14ac:dyDescent="0.25">
      <c r="B13" s="20" t="s">
        <v>20</v>
      </c>
      <c r="C13" s="18"/>
      <c r="D13" s="36">
        <f>+D12/D5</f>
        <v>0.57250831180454698</v>
      </c>
      <c r="E13" s="86"/>
      <c r="F13" s="36">
        <f>+F12/F5</f>
        <v>0.63933608628528826</v>
      </c>
      <c r="G13" s="86"/>
      <c r="H13" s="30">
        <f t="shared" si="0"/>
        <v>1.1167280423756645</v>
      </c>
      <c r="I13" s="14">
        <f t="shared" si="1"/>
        <v>6.6827774480741287E-2</v>
      </c>
      <c r="J13" s="18"/>
      <c r="K13" s="18"/>
    </row>
    <row r="14" spans="2:19" x14ac:dyDescent="0.25">
      <c r="B14" s="20" t="s">
        <v>18</v>
      </c>
      <c r="C14" s="18"/>
      <c r="D14" s="8">
        <f>+D5/D11</f>
        <v>407.09288235294116</v>
      </c>
      <c r="E14" s="86"/>
      <c r="F14" s="8">
        <f>+F5/F11</f>
        <v>371.06820529411766</v>
      </c>
      <c r="G14" s="86"/>
      <c r="H14" s="30">
        <f t="shared" si="0"/>
        <v>0.91150747502484986</v>
      </c>
      <c r="I14" s="17">
        <f t="shared" si="1"/>
        <v>-36.024677058823499</v>
      </c>
      <c r="J14" s="18"/>
      <c r="K14" s="18"/>
    </row>
    <row r="15" spans="2:19" x14ac:dyDescent="0.25">
      <c r="B15" s="10" t="s">
        <v>54</v>
      </c>
      <c r="C15" s="18"/>
      <c r="D15" s="8">
        <f>+D12/D11</f>
        <v>233.06405882352942</v>
      </c>
      <c r="E15" s="86"/>
      <c r="F15" s="8">
        <f>+F12/F11</f>
        <v>237.23729411764705</v>
      </c>
      <c r="G15" s="86"/>
      <c r="H15" s="30">
        <f t="shared" si="0"/>
        <v>1.0179059581952854</v>
      </c>
      <c r="I15" s="17">
        <f t="shared" si="1"/>
        <v>4.1732352941176316</v>
      </c>
      <c r="J15" s="18"/>
      <c r="K15" s="18"/>
    </row>
    <row r="16" spans="2:19" x14ac:dyDescent="0.25">
      <c r="B16" s="20" t="s">
        <v>21</v>
      </c>
      <c r="C16" s="18"/>
      <c r="D16" s="36">
        <f>+D12/D7</f>
        <v>0.67875198719153529</v>
      </c>
      <c r="E16" s="86"/>
      <c r="F16" s="36">
        <f>+F12/F7</f>
        <v>0.75169204303310277</v>
      </c>
      <c r="G16" s="86"/>
      <c r="H16" s="30">
        <f t="shared" si="0"/>
        <v>1.1074620144294101</v>
      </c>
      <c r="I16" s="14">
        <f t="shared" si="1"/>
        <v>7.2940055841567486E-2</v>
      </c>
      <c r="J16" s="18"/>
      <c r="K16" s="18"/>
    </row>
    <row r="17" spans="2:11" ht="7.5" customHeight="1" x14ac:dyDescent="0.25">
      <c r="B17" s="7"/>
      <c r="C17" s="18"/>
      <c r="D17" s="35"/>
      <c r="E17" s="86"/>
      <c r="F17" s="31"/>
      <c r="G17" s="86"/>
      <c r="H17" s="41"/>
      <c r="I17" s="18"/>
      <c r="J17" s="18"/>
      <c r="K17" s="18"/>
    </row>
    <row r="18" spans="2:11" x14ac:dyDescent="0.25">
      <c r="B18" s="19" t="s">
        <v>40</v>
      </c>
      <c r="C18" s="18"/>
      <c r="D18" s="11">
        <f>+'2013'!Q18</f>
        <v>87813</v>
      </c>
      <c r="E18" s="87">
        <f>+'2013'!R18</f>
        <v>87813</v>
      </c>
      <c r="F18" s="15">
        <f>+'2014'!Q18</f>
        <v>90725</v>
      </c>
      <c r="G18" s="103">
        <f>+'2014'!R18</f>
        <v>90725</v>
      </c>
      <c r="H18" s="40">
        <f t="shared" si="0"/>
        <v>1.0331613770170704</v>
      </c>
      <c r="I18" s="43">
        <f t="shared" ref="I18:I27" si="2">+F18-D18</f>
        <v>2912</v>
      </c>
      <c r="J18" s="18"/>
      <c r="K18" s="18"/>
    </row>
    <row r="19" spans="2:11" x14ac:dyDescent="0.25">
      <c r="B19" s="19" t="s">
        <v>41</v>
      </c>
      <c r="C19" s="18"/>
      <c r="D19" s="11">
        <f>+'2013'!Q19</f>
        <v>14083</v>
      </c>
      <c r="E19" s="88">
        <f>+'2013'!R19</f>
        <v>14459</v>
      </c>
      <c r="F19" s="15">
        <f>+'2014'!Q19</f>
        <v>8974.5400000000009</v>
      </c>
      <c r="G19" s="103">
        <f>+'2014'!R19</f>
        <v>8974.5400000000009</v>
      </c>
      <c r="H19" s="40">
        <f t="shared" si="0"/>
        <v>0.6372605268763758</v>
      </c>
      <c r="I19" s="43">
        <f t="shared" si="2"/>
        <v>-5108.4599999999991</v>
      </c>
      <c r="J19" s="18"/>
      <c r="K19" s="18"/>
    </row>
    <row r="20" spans="2:11" x14ac:dyDescent="0.25">
      <c r="B20" s="19" t="s">
        <v>42</v>
      </c>
      <c r="C20" s="18"/>
      <c r="D20" s="11">
        <f>+'2013'!Q20</f>
        <v>542.05989999999997</v>
      </c>
      <c r="E20" s="88">
        <f>+'2013'!R20</f>
        <v>520.53600000000006</v>
      </c>
      <c r="F20" s="15">
        <f>+'2014'!Q20</f>
        <v>462.82751999999999</v>
      </c>
      <c r="G20" s="103">
        <f>+'2014'!R20</f>
        <v>328.70789000000002</v>
      </c>
      <c r="H20" s="40">
        <f t="shared" si="0"/>
        <v>0.85383095115502916</v>
      </c>
      <c r="I20" s="43">
        <f t="shared" si="2"/>
        <v>-79.232379999999978</v>
      </c>
      <c r="J20" s="18"/>
      <c r="K20" s="18"/>
    </row>
    <row r="21" spans="2:11" x14ac:dyDescent="0.25">
      <c r="B21" s="20" t="s">
        <v>43</v>
      </c>
      <c r="C21" s="18"/>
      <c r="D21" s="53">
        <f>+D20/D19*1000</f>
        <v>38.490371369736557</v>
      </c>
      <c r="E21" s="89">
        <f>+E20/E19*1000</f>
        <v>36.00082993291376</v>
      </c>
      <c r="F21" s="53">
        <f>+F20/F19*1000</f>
        <v>51.571169107274571</v>
      </c>
      <c r="G21" s="108">
        <f>+G20/G19*1000</f>
        <v>36.626711786899385</v>
      </c>
      <c r="H21" s="30">
        <f t="shared" si="0"/>
        <v>1.3398459737341719</v>
      </c>
      <c r="I21" s="17">
        <f t="shared" si="2"/>
        <v>13.080797737538013</v>
      </c>
      <c r="J21" s="111">
        <f>+G21/E21</f>
        <v>1.0173852062619648</v>
      </c>
      <c r="K21" s="110">
        <f>+G21-E21</f>
        <v>0.62588185398562501</v>
      </c>
    </row>
    <row r="22" spans="2:11" x14ac:dyDescent="0.25">
      <c r="B22" s="20" t="s">
        <v>44</v>
      </c>
      <c r="C22" s="18"/>
      <c r="D22" s="55">
        <f>+D19/D18</f>
        <v>0.1603748875451243</v>
      </c>
      <c r="E22" s="90"/>
      <c r="F22" s="64">
        <f>+F19/F18</f>
        <v>9.8920253513364573E-2</v>
      </c>
      <c r="G22" s="109"/>
      <c r="H22" s="30">
        <f t="shared" si="0"/>
        <v>0.61680637802805394</v>
      </c>
      <c r="I22" s="17">
        <f t="shared" si="2"/>
        <v>-6.1454634031759728E-2</v>
      </c>
      <c r="J22" s="18"/>
      <c r="K22" s="18"/>
    </row>
    <row r="23" spans="2:11" x14ac:dyDescent="0.25">
      <c r="B23" s="10" t="s">
        <v>39</v>
      </c>
      <c r="C23" s="10"/>
      <c r="D23" s="57">
        <f>+D20*1000/(D18*D21)*100</f>
        <v>16.037488754512434</v>
      </c>
      <c r="E23" s="91"/>
      <c r="F23" s="57">
        <f>+F20/(F18*F21)*1000*100</f>
        <v>9.8920253513364571</v>
      </c>
      <c r="G23" s="91"/>
      <c r="H23" s="30">
        <f t="shared" si="0"/>
        <v>0.61680637802805371</v>
      </c>
      <c r="I23" s="17">
        <f t="shared" si="2"/>
        <v>-6.1454634031759774</v>
      </c>
      <c r="J23" s="18"/>
      <c r="K23" s="18"/>
    </row>
    <row r="24" spans="2:11" ht="7.5" customHeight="1" x14ac:dyDescent="0.25">
      <c r="B24" s="10"/>
      <c r="C24" s="10"/>
      <c r="D24" s="57"/>
      <c r="E24" s="91"/>
      <c r="F24" s="57"/>
      <c r="G24" s="91"/>
      <c r="H24" s="30"/>
      <c r="I24" s="17"/>
      <c r="J24" s="18"/>
      <c r="K24" s="18"/>
    </row>
    <row r="25" spans="2:11" x14ac:dyDescent="0.25">
      <c r="B25" s="19" t="s">
        <v>49</v>
      </c>
      <c r="C25" s="10"/>
      <c r="D25" s="11">
        <f>+'2013'!Q25</f>
        <v>75.2</v>
      </c>
      <c r="E25" s="91"/>
      <c r="F25" s="11">
        <f>+'2014'!Q25</f>
        <v>42.4</v>
      </c>
      <c r="G25" s="91"/>
      <c r="H25" s="40">
        <f t="shared" si="0"/>
        <v>0.56382978723404253</v>
      </c>
      <c r="I25" s="43">
        <f t="shared" si="2"/>
        <v>-32.800000000000004</v>
      </c>
      <c r="J25" s="18"/>
      <c r="K25" s="18"/>
    </row>
    <row r="26" spans="2:11" x14ac:dyDescent="0.25">
      <c r="B26" s="19" t="s">
        <v>52</v>
      </c>
      <c r="C26" s="10"/>
      <c r="D26" s="11">
        <f>+'2013'!Q26</f>
        <v>1352</v>
      </c>
      <c r="E26" s="91"/>
      <c r="F26" s="11">
        <f>+'2014'!Q26</f>
        <v>1352</v>
      </c>
      <c r="G26" s="91"/>
      <c r="H26" s="40">
        <f t="shared" si="0"/>
        <v>1</v>
      </c>
      <c r="I26" s="43">
        <f t="shared" si="2"/>
        <v>0</v>
      </c>
      <c r="J26" s="18"/>
      <c r="K26" s="18"/>
    </row>
    <row r="27" spans="2:11" x14ac:dyDescent="0.25">
      <c r="B27" s="20" t="s">
        <v>53</v>
      </c>
      <c r="C27" s="10"/>
      <c r="D27" s="36">
        <f>+D25/D26</f>
        <v>5.562130177514793E-2</v>
      </c>
      <c r="E27" s="91"/>
      <c r="F27" s="36">
        <f>+F25/F26</f>
        <v>3.1360946745562127E-2</v>
      </c>
      <c r="G27" s="91"/>
      <c r="H27" s="30">
        <f t="shared" si="0"/>
        <v>0.56382978723404253</v>
      </c>
      <c r="I27" s="17">
        <f t="shared" si="2"/>
        <v>-2.4260355029585803E-2</v>
      </c>
      <c r="J27" s="18"/>
      <c r="K27" s="18"/>
    </row>
    <row r="28" spans="2:11" x14ac:dyDescent="0.25">
      <c r="B28" s="19" t="s">
        <v>45</v>
      </c>
      <c r="C28" s="10"/>
      <c r="D28" s="11">
        <f>+'2013'!Q28</f>
        <v>376</v>
      </c>
      <c r="E28" s="91"/>
      <c r="F28" s="11">
        <f>+'2014'!Q28</f>
        <v>132.06</v>
      </c>
      <c r="G28" s="91"/>
      <c r="H28" s="40">
        <f t="shared" ref="H28" si="3">+F28/D28</f>
        <v>0.35122340425531917</v>
      </c>
      <c r="I28" s="43">
        <f t="shared" ref="I28" si="4">+F28-D28</f>
        <v>-243.94</v>
      </c>
      <c r="J28" s="18"/>
      <c r="K28" s="18"/>
    </row>
    <row r="29" spans="2:11" x14ac:dyDescent="0.25">
      <c r="B29" s="19" t="s">
        <v>46</v>
      </c>
      <c r="C29" s="10"/>
      <c r="D29" s="11">
        <f>+'2013'!Q29</f>
        <v>13.536</v>
      </c>
      <c r="E29" s="91"/>
      <c r="F29" s="11">
        <f>+'2014'!Q29</f>
        <v>4.7437899999999997</v>
      </c>
      <c r="G29" s="91"/>
      <c r="H29" s="40">
        <f t="shared" ref="H29:H30" si="5">+F29/D29</f>
        <v>0.35045729905437351</v>
      </c>
      <c r="I29" s="43">
        <f t="shared" ref="I29:I30" si="6">+F29-D29</f>
        <v>-8.7922100000000007</v>
      </c>
      <c r="J29" s="18"/>
      <c r="K29" s="18"/>
    </row>
    <row r="30" spans="2:11" x14ac:dyDescent="0.25">
      <c r="B30" s="20" t="s">
        <v>47</v>
      </c>
      <c r="C30" s="10"/>
      <c r="D30" s="53">
        <f>+D29/D28*1000</f>
        <v>36</v>
      </c>
      <c r="E30" s="91"/>
      <c r="F30" s="53">
        <f>+F29/F28*1000</f>
        <v>35.921475087081625</v>
      </c>
      <c r="G30" s="91"/>
      <c r="H30" s="30">
        <f t="shared" si="5"/>
        <v>0.99781875241893403</v>
      </c>
      <c r="I30" s="17">
        <f t="shared" si="6"/>
        <v>-7.8524912918375378E-2</v>
      </c>
      <c r="J30" s="18"/>
      <c r="K30" s="18"/>
    </row>
    <row r="31" spans="2:11" x14ac:dyDescent="0.25">
      <c r="B31" s="20" t="s">
        <v>48</v>
      </c>
      <c r="C31" s="10"/>
      <c r="D31" s="55">
        <f>+D28/D25</f>
        <v>5</v>
      </c>
      <c r="E31" s="91"/>
      <c r="F31" s="55">
        <f>+F28/F25</f>
        <v>3.1146226415094342</v>
      </c>
      <c r="G31" s="91"/>
      <c r="H31" s="30">
        <f t="shared" ref="H31" si="7">+F31/D31</f>
        <v>0.62292452830188683</v>
      </c>
      <c r="I31" s="17">
        <f t="shared" ref="I31" si="8">+F31-D31</f>
        <v>-1.8853773584905658</v>
      </c>
      <c r="J31" s="18"/>
      <c r="K31" s="18"/>
    </row>
    <row r="32" spans="2:11" ht="15" customHeight="1" x14ac:dyDescent="0.25">
      <c r="B32" s="10" t="s">
        <v>50</v>
      </c>
      <c r="D32" s="57">
        <f>+D29*1000/(D25*D30)*100</f>
        <v>499.99999999999989</v>
      </c>
      <c r="E32" s="92"/>
      <c r="F32" s="57">
        <f>+F29*1000/(F25*F30)*100</f>
        <v>311.4622641509435</v>
      </c>
      <c r="G32" s="92"/>
      <c r="H32" s="30">
        <f t="shared" ref="H32" si="9">+F32/D32</f>
        <v>0.62292452830188716</v>
      </c>
      <c r="I32" s="17">
        <f t="shared" ref="I32" si="10">+F32-D32</f>
        <v>-188.53773584905639</v>
      </c>
    </row>
    <row r="33" spans="2:9" ht="15" customHeight="1" x14ac:dyDescent="0.25">
      <c r="B33" s="18"/>
      <c r="E33" s="92"/>
      <c r="F33" s="12"/>
      <c r="G33" s="92"/>
      <c r="H33" s="41"/>
      <c r="I33" s="18"/>
    </row>
    <row r="34" spans="2:9" x14ac:dyDescent="0.25">
      <c r="B34" s="22" t="s">
        <v>51</v>
      </c>
      <c r="C34" s="21"/>
      <c r="D34" s="23">
        <f>+D8/(1-D6/D5)</f>
        <v>6057.6437157400369</v>
      </c>
      <c r="E34" s="92"/>
      <c r="F34" s="23">
        <f>+F8/(1-F6/F5)</f>
        <v>6337.1970208728562</v>
      </c>
      <c r="G34" s="92"/>
      <c r="H34" s="44">
        <f>+F34/D34</f>
        <v>1.0461488523015037</v>
      </c>
      <c r="I34" s="23">
        <f>+F34-D34</f>
        <v>279.55330513281933</v>
      </c>
    </row>
    <row r="35" spans="2:9" x14ac:dyDescent="0.25">
      <c r="F35" s="12"/>
    </row>
    <row r="36" spans="2:9" x14ac:dyDescent="0.25">
      <c r="F36" s="12"/>
    </row>
    <row r="37" spans="2:9" x14ac:dyDescent="0.25">
      <c r="F37" s="12"/>
    </row>
    <row r="38" spans="2:9" x14ac:dyDescent="0.25">
      <c r="F38" s="12"/>
    </row>
    <row r="39" spans="2:9" x14ac:dyDescent="0.25">
      <c r="F39" s="12"/>
    </row>
    <row r="40" spans="2:9" x14ac:dyDescent="0.25">
      <c r="F40" s="12"/>
    </row>
    <row r="41" spans="2:9" x14ac:dyDescent="0.25">
      <c r="F41" s="12"/>
    </row>
    <row r="42" spans="2:9" x14ac:dyDescent="0.25">
      <c r="F42" s="12"/>
    </row>
    <row r="43" spans="2:9" x14ac:dyDescent="0.25">
      <c r="F43" s="12"/>
    </row>
    <row r="44" spans="2:9" x14ac:dyDescent="0.25">
      <c r="F44" s="12"/>
    </row>
    <row r="45" spans="2:9" x14ac:dyDescent="0.25">
      <c r="F45" s="12"/>
    </row>
    <row r="46" spans="2:9" x14ac:dyDescent="0.25">
      <c r="F46" s="12"/>
    </row>
    <row r="47" spans="2:9" x14ac:dyDescent="0.25">
      <c r="F47" s="12"/>
    </row>
    <row r="48" spans="2:9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  <row r="78" spans="6:6" x14ac:dyDescent="0.25">
      <c r="F78" s="12"/>
    </row>
    <row r="79" spans="6:6" x14ac:dyDescent="0.25">
      <c r="F79" s="12"/>
    </row>
    <row r="80" spans="6:6" x14ac:dyDescent="0.25">
      <c r="F80" s="12"/>
    </row>
    <row r="81" spans="6:6" x14ac:dyDescent="0.25">
      <c r="F81" s="12"/>
    </row>
    <row r="82" spans="6:6" x14ac:dyDescent="0.25">
      <c r="F82" s="12"/>
    </row>
    <row r="83" spans="6:6" x14ac:dyDescent="0.25">
      <c r="F83" s="12"/>
    </row>
    <row r="84" spans="6:6" x14ac:dyDescent="0.25">
      <c r="F84" s="12"/>
    </row>
    <row r="85" spans="6:6" x14ac:dyDescent="0.25">
      <c r="F85" s="12"/>
    </row>
    <row r="86" spans="6:6" x14ac:dyDescent="0.25">
      <c r="F86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6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21" sqref="A21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 x14ac:dyDescent="0.25">
      <c r="B1" s="2" t="s">
        <v>0</v>
      </c>
      <c r="H1" s="27"/>
    </row>
    <row r="2" spans="2:19" x14ac:dyDescent="0.25">
      <c r="B2" s="49" t="s">
        <v>38</v>
      </c>
      <c r="D2" s="3" t="s">
        <v>2</v>
      </c>
      <c r="E2" s="5" t="s">
        <v>22</v>
      </c>
      <c r="F2" s="3" t="s">
        <v>2</v>
      </c>
      <c r="G2" s="5" t="s">
        <v>22</v>
      </c>
      <c r="H2" s="28" t="s">
        <v>31</v>
      </c>
      <c r="I2" s="1" t="s">
        <v>32</v>
      </c>
      <c r="J2" s="3"/>
      <c r="K2" s="5"/>
      <c r="L2" s="3"/>
      <c r="M2" s="5"/>
      <c r="N2" s="3"/>
      <c r="Q2" s="3"/>
      <c r="R2" s="5"/>
      <c r="S2" s="1"/>
    </row>
    <row r="3" spans="2:19" x14ac:dyDescent="0.25">
      <c r="B3" s="51" t="s">
        <v>1</v>
      </c>
      <c r="D3" s="4" t="s">
        <v>36</v>
      </c>
      <c r="E3" s="25" t="s">
        <v>23</v>
      </c>
      <c r="F3" s="4" t="s">
        <v>37</v>
      </c>
      <c r="G3" s="6" t="s">
        <v>23</v>
      </c>
      <c r="H3" s="29" t="s">
        <v>33</v>
      </c>
      <c r="I3" s="26" t="s">
        <v>34</v>
      </c>
      <c r="J3" s="4"/>
      <c r="K3" s="6"/>
      <c r="L3" s="4"/>
      <c r="M3" s="6"/>
      <c r="N3" s="4"/>
      <c r="Q3" s="4"/>
      <c r="R3" s="6"/>
    </row>
    <row r="4" spans="2:19" x14ac:dyDescent="0.25">
      <c r="B4" s="52">
        <v>9404</v>
      </c>
      <c r="D4" s="24" t="s">
        <v>24</v>
      </c>
      <c r="E4" s="3" t="s">
        <v>25</v>
      </c>
      <c r="F4" s="24" t="s">
        <v>24</v>
      </c>
      <c r="G4" s="3" t="s">
        <v>25</v>
      </c>
      <c r="H4" s="27"/>
    </row>
    <row r="5" spans="2:19" x14ac:dyDescent="0.25">
      <c r="B5" s="10" t="s">
        <v>4</v>
      </c>
      <c r="C5" s="18"/>
      <c r="D5" s="8">
        <f>+'2013'!F5</f>
        <v>865.07237499999997</v>
      </c>
      <c r="E5" s="83">
        <f>+D5/$D$5</f>
        <v>1</v>
      </c>
      <c r="F5" s="13">
        <f>+'2014'!F5</f>
        <v>788.51993625</v>
      </c>
      <c r="G5" s="83">
        <f>+F5/$F$5</f>
        <v>1</v>
      </c>
      <c r="H5" s="30">
        <f t="shared" ref="H5:H23" si="0">+F5/D5</f>
        <v>0.91150747502484986</v>
      </c>
      <c r="I5" s="17">
        <f>+F5-D5</f>
        <v>-76.552438749999965</v>
      </c>
      <c r="J5" s="18"/>
      <c r="K5" s="18"/>
    </row>
    <row r="6" spans="2:19" x14ac:dyDescent="0.25">
      <c r="B6" s="7" t="s">
        <v>5</v>
      </c>
      <c r="C6" s="18"/>
      <c r="D6" s="11">
        <f>+'2013'!F6</f>
        <v>135.40802875</v>
      </c>
      <c r="E6" s="84">
        <f>+D6/$D$5</f>
        <v>0.15652797692216217</v>
      </c>
      <c r="F6" s="15">
        <f>+'2014'!F6</f>
        <v>117.86064875</v>
      </c>
      <c r="G6" s="84">
        <f>+F6/$F$5</f>
        <v>0.14947072779226767</v>
      </c>
      <c r="H6" s="40">
        <f t="shared" si="0"/>
        <v>0.87041108151424884</v>
      </c>
      <c r="I6" s="43">
        <f>+F6-D6</f>
        <v>-17.547380000000004</v>
      </c>
      <c r="J6" s="18"/>
      <c r="K6" s="18"/>
    </row>
    <row r="7" spans="2:19" x14ac:dyDescent="0.25">
      <c r="B7" s="10" t="s">
        <v>8</v>
      </c>
      <c r="C7" s="18"/>
      <c r="D7" s="8">
        <f>+'2013'!F7</f>
        <v>729.66434624999999</v>
      </c>
      <c r="E7" s="85">
        <f>+D7/$D$5</f>
        <v>0.84347202307783786</v>
      </c>
      <c r="F7" s="8">
        <f>+'2014'!F7</f>
        <v>670.6592875</v>
      </c>
      <c r="G7" s="85">
        <f>+F7/$F$5</f>
        <v>0.85052927220773233</v>
      </c>
      <c r="H7" s="42">
        <f t="shared" si="0"/>
        <v>0.9191339702244633</v>
      </c>
      <c r="I7" s="17">
        <f>+F7-D7</f>
        <v>-59.005058749999989</v>
      </c>
      <c r="J7" s="18"/>
      <c r="K7" s="18"/>
    </row>
    <row r="8" spans="2:19" x14ac:dyDescent="0.25">
      <c r="B8" s="7" t="s">
        <v>6</v>
      </c>
      <c r="C8" s="18"/>
      <c r="D8" s="11">
        <f>+'2013'!F8</f>
        <v>638.68162499999994</v>
      </c>
      <c r="E8" s="84">
        <f>+D8/$D$5</f>
        <v>0.73829848629717254</v>
      </c>
      <c r="F8" s="15">
        <f>+'2014'!F8</f>
        <v>673.74644624999996</v>
      </c>
      <c r="G8" s="84">
        <f>+F8/$F$5</f>
        <v>0.85444440308531255</v>
      </c>
      <c r="H8" s="40">
        <f t="shared" si="0"/>
        <v>1.0549018789291145</v>
      </c>
      <c r="I8" s="43">
        <f>+F8-D8</f>
        <v>35.064821250000023</v>
      </c>
      <c r="J8" s="18"/>
      <c r="K8" s="18"/>
    </row>
    <row r="9" spans="2:19" x14ac:dyDescent="0.25">
      <c r="B9" s="20" t="s">
        <v>16</v>
      </c>
      <c r="C9" s="18"/>
      <c r="D9" s="16">
        <f>+D5-D6-D8</f>
        <v>90.982721250000054</v>
      </c>
      <c r="E9" s="83">
        <f>+D9/$D$5</f>
        <v>0.10517353678066538</v>
      </c>
      <c r="F9" s="16">
        <f>+F5-F6-F8</f>
        <v>-3.0871587499999578</v>
      </c>
      <c r="G9" s="83">
        <f>+F9/$F$5</f>
        <v>-3.9151308775802153E-3</v>
      </c>
      <c r="H9" s="42">
        <f t="shared" si="0"/>
        <v>-3.3931264173964852E-2</v>
      </c>
      <c r="I9" s="17">
        <f>+F9-D9</f>
        <v>-94.069880000000012</v>
      </c>
      <c r="J9" s="18"/>
      <c r="K9" s="18"/>
    </row>
    <row r="10" spans="2:19" ht="7.5" customHeight="1" x14ac:dyDescent="0.25">
      <c r="B10" s="18"/>
      <c r="C10" s="18"/>
      <c r="D10" s="35"/>
      <c r="E10" s="86"/>
      <c r="F10" s="31"/>
      <c r="G10" s="86"/>
      <c r="H10" s="41"/>
      <c r="I10" s="18"/>
      <c r="J10" s="18"/>
      <c r="K10" s="18"/>
    </row>
    <row r="11" spans="2:19" x14ac:dyDescent="0.25">
      <c r="B11" s="19" t="s">
        <v>19</v>
      </c>
      <c r="C11" s="18"/>
      <c r="D11" s="35">
        <f>+'2013'!F11</f>
        <v>17</v>
      </c>
      <c r="E11" s="86"/>
      <c r="F11" s="31">
        <f>+'2014'!F11</f>
        <v>17</v>
      </c>
      <c r="G11" s="86"/>
      <c r="H11" s="40">
        <f t="shared" si="0"/>
        <v>1</v>
      </c>
      <c r="I11" s="43">
        <f t="shared" ref="I11:I16" si="1">+F11-D11</f>
        <v>0</v>
      </c>
      <c r="J11" s="18"/>
      <c r="K11" s="18"/>
    </row>
    <row r="12" spans="2:19" x14ac:dyDescent="0.25">
      <c r="B12" s="19" t="s">
        <v>17</v>
      </c>
      <c r="C12" s="18"/>
      <c r="D12" s="35">
        <f>+'2013'!F12</f>
        <v>495.26112499999999</v>
      </c>
      <c r="E12" s="86"/>
      <c r="F12" s="15">
        <f>+'2014'!F12</f>
        <v>504.12925000000001</v>
      </c>
      <c r="G12" s="86"/>
      <c r="H12" s="40">
        <f t="shared" si="0"/>
        <v>1.0179059581952854</v>
      </c>
      <c r="I12" s="43">
        <f t="shared" si="1"/>
        <v>8.8681250000000205</v>
      </c>
      <c r="J12" s="18"/>
      <c r="K12" s="18"/>
    </row>
    <row r="13" spans="2:19" x14ac:dyDescent="0.25">
      <c r="B13" s="20" t="s">
        <v>20</v>
      </c>
      <c r="C13" s="18"/>
      <c r="D13" s="36">
        <f>+D12/D5</f>
        <v>0.57250831180454698</v>
      </c>
      <c r="E13" s="86"/>
      <c r="F13" s="36">
        <f>+F12/F5</f>
        <v>0.63933608628528826</v>
      </c>
      <c r="G13" s="86"/>
      <c r="H13" s="30">
        <f t="shared" si="0"/>
        <v>1.1167280423756645</v>
      </c>
      <c r="I13" s="14">
        <f t="shared" si="1"/>
        <v>6.6827774480741287E-2</v>
      </c>
      <c r="J13" s="18"/>
      <c r="K13" s="18"/>
    </row>
    <row r="14" spans="2:19" x14ac:dyDescent="0.25">
      <c r="B14" s="20" t="s">
        <v>18</v>
      </c>
      <c r="C14" s="18"/>
      <c r="D14" s="8">
        <f>+D5/D11</f>
        <v>50.886610294117645</v>
      </c>
      <c r="E14" s="86"/>
      <c r="F14" s="8">
        <f>+F5/F11</f>
        <v>46.383525661764708</v>
      </c>
      <c r="G14" s="86"/>
      <c r="H14" s="30">
        <f t="shared" si="0"/>
        <v>0.91150747502484986</v>
      </c>
      <c r="I14" s="17">
        <f t="shared" si="1"/>
        <v>-4.5030846323529374</v>
      </c>
      <c r="J14" s="18"/>
      <c r="K14" s="18"/>
    </row>
    <row r="15" spans="2:19" x14ac:dyDescent="0.25">
      <c r="B15" s="10" t="s">
        <v>54</v>
      </c>
      <c r="C15" s="18"/>
      <c r="D15" s="8">
        <f>+D12/D11</f>
        <v>29.133007352941178</v>
      </c>
      <c r="E15" s="86"/>
      <c r="F15" s="8">
        <f>+F12/F11</f>
        <v>29.654661764705882</v>
      </c>
      <c r="G15" s="86"/>
      <c r="H15" s="30">
        <f t="shared" si="0"/>
        <v>1.0179059581952854</v>
      </c>
      <c r="I15" s="17">
        <f t="shared" si="1"/>
        <v>0.52165441176470395</v>
      </c>
      <c r="J15" s="18"/>
      <c r="K15" s="18"/>
    </row>
    <row r="16" spans="2:19" x14ac:dyDescent="0.25">
      <c r="B16" s="20" t="s">
        <v>21</v>
      </c>
      <c r="C16" s="18"/>
      <c r="D16" s="36">
        <f>+D12/D7</f>
        <v>0.67875198719153529</v>
      </c>
      <c r="E16" s="86"/>
      <c r="F16" s="36">
        <f>+F12/F7</f>
        <v>0.75169204303310277</v>
      </c>
      <c r="G16" s="86"/>
      <c r="H16" s="30">
        <f t="shared" si="0"/>
        <v>1.1074620144294101</v>
      </c>
      <c r="I16" s="14">
        <f t="shared" si="1"/>
        <v>7.2940055841567486E-2</v>
      </c>
      <c r="J16" s="18"/>
      <c r="K16" s="18"/>
    </row>
    <row r="17" spans="2:11" ht="7.5" customHeight="1" x14ac:dyDescent="0.25">
      <c r="B17" s="7"/>
      <c r="C17" s="18"/>
      <c r="D17" s="35"/>
      <c r="E17" s="86"/>
      <c r="F17" s="31"/>
      <c r="G17" s="86"/>
      <c r="H17" s="41"/>
      <c r="I17" s="18"/>
      <c r="J17" s="18"/>
      <c r="K17" s="18"/>
    </row>
    <row r="18" spans="2:11" x14ac:dyDescent="0.25">
      <c r="B18" s="19" t="s">
        <v>40</v>
      </c>
      <c r="C18" s="18"/>
      <c r="D18" s="11">
        <f>+'2013'!F18</f>
        <v>10976.625</v>
      </c>
      <c r="E18" s="87">
        <f>+'2013'!G18</f>
        <v>10976.625</v>
      </c>
      <c r="F18" s="15">
        <f>+'2014'!F18</f>
        <v>11340.625</v>
      </c>
      <c r="G18" s="103">
        <f>+'2014'!G18</f>
        <v>11340.625</v>
      </c>
      <c r="H18" s="40">
        <f t="shared" si="0"/>
        <v>1.0331613770170704</v>
      </c>
      <c r="I18" s="43">
        <f t="shared" ref="I18:I23" si="2">+F18-D18</f>
        <v>364</v>
      </c>
      <c r="J18" s="18"/>
      <c r="K18" s="18"/>
    </row>
    <row r="19" spans="2:11" x14ac:dyDescent="0.25">
      <c r="B19" s="19" t="s">
        <v>41</v>
      </c>
      <c r="C19" s="18"/>
      <c r="D19" s="11">
        <f>+'2013'!F19</f>
        <v>1760.375</v>
      </c>
      <c r="E19" s="88">
        <f>+'2013'!G19</f>
        <v>1807.375</v>
      </c>
      <c r="F19" s="15">
        <f>+'2014'!F19</f>
        <v>1121.8175000000001</v>
      </c>
      <c r="G19" s="103">
        <f>+'2014'!G19</f>
        <v>1121.8175000000001</v>
      </c>
      <c r="H19" s="40">
        <f t="shared" si="0"/>
        <v>0.6372605268763758</v>
      </c>
      <c r="I19" s="43">
        <f t="shared" si="2"/>
        <v>-638.55749999999989</v>
      </c>
      <c r="J19" s="18"/>
      <c r="K19" s="18"/>
    </row>
    <row r="20" spans="2:11" x14ac:dyDescent="0.25">
      <c r="B20" s="19" t="s">
        <v>42</v>
      </c>
      <c r="C20" s="18"/>
      <c r="D20" s="11">
        <f>+'2013'!F20</f>
        <v>67.757487499999996</v>
      </c>
      <c r="E20" s="88">
        <f>+'2013'!G20</f>
        <v>65.067000000000007</v>
      </c>
      <c r="F20" s="15">
        <f>+'2014'!F20</f>
        <v>57.853439999999999</v>
      </c>
      <c r="G20" s="103">
        <f>+'2014'!G20</f>
        <v>41.088486250000003</v>
      </c>
      <c r="H20" s="40">
        <f t="shared" si="0"/>
        <v>0.85383095115502916</v>
      </c>
      <c r="I20" s="43">
        <f t="shared" si="2"/>
        <v>-9.9040474999999972</v>
      </c>
      <c r="J20" s="18"/>
      <c r="K20" s="18"/>
    </row>
    <row r="21" spans="2:11" x14ac:dyDescent="0.25">
      <c r="B21" s="20" t="s">
        <v>43</v>
      </c>
      <c r="C21" s="18"/>
      <c r="D21" s="53">
        <f>+D20/D19*1000</f>
        <v>38.490371369736557</v>
      </c>
      <c r="E21" s="89">
        <f>+E20/E19*1000</f>
        <v>36.00082993291376</v>
      </c>
      <c r="F21" s="53">
        <f>+F20/F19*1000</f>
        <v>51.571169107274571</v>
      </c>
      <c r="G21" s="108">
        <f>+G20/G19*1000</f>
        <v>36.626711786899385</v>
      </c>
      <c r="H21" s="30">
        <f t="shared" si="0"/>
        <v>1.3398459737341719</v>
      </c>
      <c r="I21" s="17">
        <f t="shared" si="2"/>
        <v>13.080797737538013</v>
      </c>
      <c r="J21" s="111">
        <f>+G21/E21</f>
        <v>1.0173852062619648</v>
      </c>
      <c r="K21" s="110">
        <f>+G21-E21</f>
        <v>0.62588185398562501</v>
      </c>
    </row>
    <row r="22" spans="2:11" x14ac:dyDescent="0.25">
      <c r="B22" s="20" t="s">
        <v>44</v>
      </c>
      <c r="C22" s="18"/>
      <c r="D22" s="55">
        <f>+D19/D18</f>
        <v>0.1603748875451243</v>
      </c>
      <c r="E22" s="90"/>
      <c r="F22" s="64">
        <f>+F19/F18</f>
        <v>9.8920253513364573E-2</v>
      </c>
      <c r="G22" s="109"/>
      <c r="H22" s="30">
        <f t="shared" si="0"/>
        <v>0.61680637802805394</v>
      </c>
      <c r="I22" s="17">
        <f t="shared" si="2"/>
        <v>-6.1454634031759728E-2</v>
      </c>
      <c r="J22" s="18"/>
      <c r="K22" s="18"/>
    </row>
    <row r="23" spans="2:11" x14ac:dyDescent="0.25">
      <c r="B23" s="10" t="s">
        <v>39</v>
      </c>
      <c r="C23" s="10"/>
      <c r="D23" s="57">
        <f>+D20*1000/(D18*D21)*100</f>
        <v>16.037488754512434</v>
      </c>
      <c r="E23" s="91"/>
      <c r="F23" s="57">
        <f>+F20/(F18*F21)*1000*100</f>
        <v>9.8920253513364571</v>
      </c>
      <c r="G23" s="91"/>
      <c r="H23" s="30">
        <f t="shared" si="0"/>
        <v>0.61680637802805371</v>
      </c>
      <c r="I23" s="17">
        <f t="shared" si="2"/>
        <v>-6.1454634031759774</v>
      </c>
      <c r="J23" s="18"/>
      <c r="K23" s="18"/>
    </row>
    <row r="24" spans="2:11" ht="7.5" customHeight="1" x14ac:dyDescent="0.25">
      <c r="B24" s="10"/>
      <c r="C24" s="10"/>
      <c r="D24" s="57"/>
      <c r="E24" s="91"/>
      <c r="F24" s="57"/>
      <c r="G24" s="91"/>
      <c r="H24" s="30"/>
      <c r="I24" s="17"/>
      <c r="J24" s="18"/>
      <c r="K24" s="18"/>
    </row>
    <row r="25" spans="2:11" x14ac:dyDescent="0.25">
      <c r="B25" s="19" t="s">
        <v>49</v>
      </c>
      <c r="C25" s="10"/>
      <c r="D25" s="11">
        <f>+'2013'!F25</f>
        <v>9.4</v>
      </c>
      <c r="E25" s="91"/>
      <c r="F25" s="11">
        <f>+'2014'!F25</f>
        <v>5.3</v>
      </c>
      <c r="G25" s="91"/>
      <c r="H25" s="40">
        <f t="shared" ref="H25:H32" si="3">+F25/D25</f>
        <v>0.56382978723404253</v>
      </c>
      <c r="I25" s="43">
        <f t="shared" ref="I25:I32" si="4">+F25-D25</f>
        <v>-4.1000000000000005</v>
      </c>
      <c r="J25" s="18"/>
      <c r="K25" s="18"/>
    </row>
    <row r="26" spans="2:11" x14ac:dyDescent="0.25">
      <c r="B26" s="19" t="s">
        <v>52</v>
      </c>
      <c r="C26" s="10"/>
      <c r="D26" s="11">
        <f>+'2013'!F26</f>
        <v>169</v>
      </c>
      <c r="E26" s="91"/>
      <c r="F26" s="11">
        <f>+'2014'!F26</f>
        <v>169</v>
      </c>
      <c r="G26" s="91"/>
      <c r="H26" s="40">
        <f t="shared" si="3"/>
        <v>1</v>
      </c>
      <c r="I26" s="43">
        <f t="shared" si="4"/>
        <v>0</v>
      </c>
      <c r="J26" s="18"/>
      <c r="K26" s="18"/>
    </row>
    <row r="27" spans="2:11" x14ac:dyDescent="0.25">
      <c r="B27" s="20" t="s">
        <v>53</v>
      </c>
      <c r="C27" s="10"/>
      <c r="D27" s="36">
        <f>+D25/D26</f>
        <v>5.562130177514793E-2</v>
      </c>
      <c r="E27" s="91"/>
      <c r="F27" s="36">
        <f>+F25/F26</f>
        <v>3.1360946745562127E-2</v>
      </c>
      <c r="G27" s="91"/>
      <c r="H27" s="30">
        <f t="shared" si="3"/>
        <v>0.56382978723404253</v>
      </c>
      <c r="I27" s="17">
        <f t="shared" si="4"/>
        <v>-2.4260355029585803E-2</v>
      </c>
      <c r="J27" s="18"/>
      <c r="K27" s="18"/>
    </row>
    <row r="28" spans="2:11" x14ac:dyDescent="0.25">
      <c r="B28" s="19" t="s">
        <v>45</v>
      </c>
      <c r="C28" s="10"/>
      <c r="D28" s="11">
        <f>+'2013'!F28</f>
        <v>47</v>
      </c>
      <c r="E28" s="91"/>
      <c r="F28" s="11">
        <f>+'2014'!F28</f>
        <v>16.5075</v>
      </c>
      <c r="G28" s="91"/>
      <c r="H28" s="40">
        <f t="shared" si="3"/>
        <v>0.35122340425531917</v>
      </c>
      <c r="I28" s="43">
        <f t="shared" si="4"/>
        <v>-30.4925</v>
      </c>
      <c r="J28" s="18"/>
      <c r="K28" s="18"/>
    </row>
    <row r="29" spans="2:11" x14ac:dyDescent="0.25">
      <c r="B29" s="19" t="s">
        <v>46</v>
      </c>
      <c r="C29" s="10"/>
      <c r="D29" s="11">
        <f>+'2013'!F29</f>
        <v>1.6919999999999999</v>
      </c>
      <c r="E29" s="91"/>
      <c r="F29" s="11">
        <f>+'2014'!F29</f>
        <v>0.59297374999999997</v>
      </c>
      <c r="G29" s="91"/>
      <c r="H29" s="40">
        <f t="shared" si="3"/>
        <v>0.35045729905437351</v>
      </c>
      <c r="I29" s="43">
        <f t="shared" si="4"/>
        <v>-1.0990262500000001</v>
      </c>
      <c r="J29" s="18"/>
      <c r="K29" s="18"/>
    </row>
    <row r="30" spans="2:11" x14ac:dyDescent="0.25">
      <c r="B30" s="20" t="s">
        <v>47</v>
      </c>
      <c r="C30" s="10"/>
      <c r="D30" s="53">
        <f>+D29/D28*1000</f>
        <v>36</v>
      </c>
      <c r="E30" s="91"/>
      <c r="F30" s="53">
        <f>+F29/F28*1000</f>
        <v>35.921475087081625</v>
      </c>
      <c r="G30" s="91"/>
      <c r="H30" s="30">
        <f t="shared" si="3"/>
        <v>0.99781875241893403</v>
      </c>
      <c r="I30" s="17">
        <f t="shared" si="4"/>
        <v>-7.8524912918375378E-2</v>
      </c>
      <c r="J30" s="18"/>
      <c r="K30" s="18"/>
    </row>
    <row r="31" spans="2:11" x14ac:dyDescent="0.25">
      <c r="B31" s="20" t="s">
        <v>48</v>
      </c>
      <c r="C31" s="10"/>
      <c r="D31" s="55">
        <f>+D28/D25</f>
        <v>5</v>
      </c>
      <c r="E31" s="91"/>
      <c r="F31" s="55">
        <f>+F28/F25</f>
        <v>3.1146226415094342</v>
      </c>
      <c r="G31" s="91"/>
      <c r="H31" s="30">
        <f t="shared" si="3"/>
        <v>0.62292452830188683</v>
      </c>
      <c r="I31" s="17">
        <f t="shared" si="4"/>
        <v>-1.8853773584905658</v>
      </c>
      <c r="J31" s="18"/>
      <c r="K31" s="18"/>
    </row>
    <row r="32" spans="2:11" x14ac:dyDescent="0.25">
      <c r="B32" s="10" t="s">
        <v>50</v>
      </c>
      <c r="D32" s="57">
        <f>+D29*1000/(D25*D30)*100</f>
        <v>499.99999999999989</v>
      </c>
      <c r="E32" s="92"/>
      <c r="F32" s="57">
        <f>+F29*1000/(F25*F30)*100</f>
        <v>311.4622641509435</v>
      </c>
      <c r="G32" s="92"/>
      <c r="H32" s="30">
        <f t="shared" si="3"/>
        <v>0.62292452830188716</v>
      </c>
      <c r="I32" s="17">
        <f t="shared" si="4"/>
        <v>-188.53773584905639</v>
      </c>
      <c r="J32" s="18"/>
      <c r="K32" s="18"/>
    </row>
    <row r="33" spans="2:11" ht="15" customHeight="1" x14ac:dyDescent="0.25">
      <c r="B33" s="18"/>
      <c r="C33" s="45"/>
      <c r="D33" s="45"/>
      <c r="E33" s="86"/>
      <c r="F33" s="46"/>
      <c r="G33" s="86"/>
      <c r="H33" s="41"/>
      <c r="I33" s="18"/>
      <c r="J33" s="45"/>
      <c r="K33" s="45"/>
    </row>
    <row r="34" spans="2:11" x14ac:dyDescent="0.25">
      <c r="B34" s="22" t="s">
        <v>51</v>
      </c>
      <c r="C34" s="47"/>
      <c r="D34" s="23">
        <f>+D8/(1-D6/D5)</f>
        <v>757.20546446750461</v>
      </c>
      <c r="E34" s="86"/>
      <c r="F34" s="23">
        <f>+F8/(1-F6/F5)</f>
        <v>792.14962760910703</v>
      </c>
      <c r="G34" s="86"/>
      <c r="H34" s="44">
        <f>+F34/D34</f>
        <v>1.0461488523015037</v>
      </c>
      <c r="I34" s="23">
        <f>+F34-D34</f>
        <v>34.944163141602417</v>
      </c>
      <c r="J34" s="45"/>
      <c r="K34" s="45"/>
    </row>
    <row r="35" spans="2:11" x14ac:dyDescent="0.25">
      <c r="F35" s="12"/>
    </row>
    <row r="36" spans="2:11" x14ac:dyDescent="0.25">
      <c r="F36" s="12"/>
    </row>
    <row r="37" spans="2:11" x14ac:dyDescent="0.25">
      <c r="F37" s="12"/>
    </row>
    <row r="38" spans="2:11" x14ac:dyDescent="0.25">
      <c r="F38" s="12"/>
    </row>
    <row r="39" spans="2:11" x14ac:dyDescent="0.25">
      <c r="F39" s="12"/>
    </row>
    <row r="40" spans="2:11" x14ac:dyDescent="0.25">
      <c r="F40" s="12"/>
    </row>
    <row r="41" spans="2:11" x14ac:dyDescent="0.25">
      <c r="F41" s="12"/>
    </row>
    <row r="42" spans="2:11" x14ac:dyDescent="0.25">
      <c r="F42" s="12"/>
    </row>
    <row r="43" spans="2:11" x14ac:dyDescent="0.25">
      <c r="F43" s="12"/>
    </row>
    <row r="44" spans="2:11" x14ac:dyDescent="0.25">
      <c r="F44" s="12"/>
    </row>
    <row r="45" spans="2:11" x14ac:dyDescent="0.25">
      <c r="F45" s="12"/>
    </row>
    <row r="46" spans="2:11" x14ac:dyDescent="0.25">
      <c r="F46" s="12"/>
    </row>
    <row r="47" spans="2:11" x14ac:dyDescent="0.25">
      <c r="F47" s="12"/>
    </row>
    <row r="48" spans="2:11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  <row r="78" spans="6:6" x14ac:dyDescent="0.25">
      <c r="F78" s="12"/>
    </row>
    <row r="79" spans="6:6" x14ac:dyDescent="0.25">
      <c r="F79" s="12"/>
    </row>
    <row r="80" spans="6:6" x14ac:dyDescent="0.25">
      <c r="F80" s="12"/>
    </row>
    <row r="81" spans="6:6" x14ac:dyDescent="0.25">
      <c r="F81" s="12"/>
    </row>
    <row r="82" spans="6:6" x14ac:dyDescent="0.25">
      <c r="F82" s="12"/>
    </row>
    <row r="83" spans="6:6" x14ac:dyDescent="0.25">
      <c r="F83" s="12"/>
    </row>
    <row r="84" spans="6:6" x14ac:dyDescent="0.25">
      <c r="F84" s="12"/>
    </row>
    <row r="85" spans="6:6" x14ac:dyDescent="0.25">
      <c r="F85" s="12"/>
    </row>
    <row r="86" spans="6:6" x14ac:dyDescent="0.25">
      <c r="F86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6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20" sqref="D20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 x14ac:dyDescent="0.25">
      <c r="B1" s="2" t="s">
        <v>0</v>
      </c>
      <c r="C1" s="18"/>
      <c r="D1" s="18"/>
      <c r="E1" s="86"/>
      <c r="F1" s="105"/>
      <c r="G1" s="4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2:20" x14ac:dyDescent="0.25">
      <c r="B2" s="49" t="s">
        <v>38</v>
      </c>
      <c r="C2" s="18"/>
      <c r="D2" s="3" t="s">
        <v>2</v>
      </c>
      <c r="E2" s="50" t="s">
        <v>22</v>
      </c>
      <c r="F2" s="66" t="s">
        <v>15</v>
      </c>
      <c r="G2" s="106" t="s">
        <v>22</v>
      </c>
      <c r="H2" s="3" t="s">
        <v>2</v>
      </c>
      <c r="I2" s="50" t="s">
        <v>12</v>
      </c>
      <c r="J2" s="3" t="s">
        <v>2</v>
      </c>
      <c r="K2" s="50" t="s">
        <v>12</v>
      </c>
      <c r="L2" s="3" t="s">
        <v>2</v>
      </c>
      <c r="M2" s="50" t="s">
        <v>12</v>
      </c>
      <c r="N2" s="3" t="s">
        <v>2</v>
      </c>
      <c r="O2" s="18"/>
      <c r="P2" s="18"/>
      <c r="Q2" s="3" t="s">
        <v>2</v>
      </c>
      <c r="R2" s="50" t="s">
        <v>22</v>
      </c>
      <c r="S2" s="51" t="s">
        <v>15</v>
      </c>
      <c r="T2" s="18"/>
    </row>
    <row r="3" spans="2:20" x14ac:dyDescent="0.25">
      <c r="B3" s="51" t="s">
        <v>1</v>
      </c>
      <c r="C3" s="18"/>
      <c r="D3" s="4" t="s">
        <v>26</v>
      </c>
      <c r="E3" s="25" t="s">
        <v>23</v>
      </c>
      <c r="F3" s="67" t="s">
        <v>26</v>
      </c>
      <c r="G3" s="107" t="s">
        <v>23</v>
      </c>
      <c r="H3" s="4" t="s">
        <v>27</v>
      </c>
      <c r="I3" s="25" t="s">
        <v>14</v>
      </c>
      <c r="J3" s="4" t="s">
        <v>28</v>
      </c>
      <c r="K3" s="25" t="s">
        <v>14</v>
      </c>
      <c r="L3" s="4" t="s">
        <v>29</v>
      </c>
      <c r="M3" s="25" t="s">
        <v>14</v>
      </c>
      <c r="N3" s="4" t="s">
        <v>30</v>
      </c>
      <c r="O3" s="18"/>
      <c r="P3" s="18"/>
      <c r="Q3" s="4" t="s">
        <v>13</v>
      </c>
      <c r="R3" s="25" t="s">
        <v>23</v>
      </c>
      <c r="S3" s="51" t="s">
        <v>35</v>
      </c>
      <c r="T3" s="25" t="s">
        <v>23</v>
      </c>
    </row>
    <row r="4" spans="2:20" x14ac:dyDescent="0.25">
      <c r="B4" s="52">
        <v>9404</v>
      </c>
      <c r="C4" s="18"/>
      <c r="D4" s="51" t="s">
        <v>24</v>
      </c>
      <c r="E4" s="3" t="s">
        <v>25</v>
      </c>
      <c r="F4" s="68" t="s">
        <v>24</v>
      </c>
      <c r="G4" s="37" t="s">
        <v>25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3" t="s">
        <v>25</v>
      </c>
      <c r="S4" s="51">
        <v>8</v>
      </c>
      <c r="T4" s="3" t="s">
        <v>25</v>
      </c>
    </row>
    <row r="5" spans="2:20" x14ac:dyDescent="0.25">
      <c r="B5" s="10" t="s">
        <v>4</v>
      </c>
      <c r="C5" s="18"/>
      <c r="D5" s="9">
        <f>368.04+3845.174+2707.365</f>
        <v>6920.5789999999997</v>
      </c>
      <c r="E5" s="83">
        <f>+D5/$D$5</f>
        <v>1</v>
      </c>
      <c r="F5" s="69">
        <f>+D5/8</f>
        <v>865.07237499999997</v>
      </c>
      <c r="G5" s="94">
        <f>+F5/$F$5</f>
        <v>1</v>
      </c>
      <c r="H5" s="18"/>
      <c r="I5" s="18"/>
      <c r="J5" s="18"/>
      <c r="K5" s="18"/>
      <c r="L5" s="18"/>
      <c r="M5" s="18"/>
      <c r="N5" s="18"/>
      <c r="O5" s="18"/>
      <c r="P5" s="18"/>
      <c r="Q5" s="33">
        <f>+D5+H5+J5+L5+N5</f>
        <v>6920.5789999999997</v>
      </c>
      <c r="R5" s="94">
        <f>+Q5/$Q$5</f>
        <v>1</v>
      </c>
      <c r="S5" s="33">
        <f>+Q5/$S$4</f>
        <v>865.07237499999997</v>
      </c>
      <c r="T5" s="86"/>
    </row>
    <row r="6" spans="2:20" x14ac:dyDescent="0.25">
      <c r="B6" s="7" t="s">
        <v>5</v>
      </c>
      <c r="C6" s="18"/>
      <c r="D6" s="11">
        <f>87.4429+228.11563+63.6352+237.6525+466.418</f>
        <v>1083.26423</v>
      </c>
      <c r="E6" s="84">
        <f>+D6/$D$5</f>
        <v>0.15652797692216217</v>
      </c>
      <c r="F6" s="70">
        <f>+D6/8</f>
        <v>135.40802875</v>
      </c>
      <c r="G6" s="95">
        <f>+F6/$F$5</f>
        <v>0.15652797692216217</v>
      </c>
      <c r="H6" s="18"/>
      <c r="I6" s="18"/>
      <c r="J6" s="18"/>
      <c r="K6" s="18"/>
      <c r="L6" s="18"/>
      <c r="M6" s="18"/>
      <c r="N6" s="18"/>
      <c r="O6" s="18"/>
      <c r="P6" s="18"/>
      <c r="Q6" s="15">
        <f t="shared" ref="Q6:Q9" si="0">+D6+H6+J6+L6+N6</f>
        <v>1083.26423</v>
      </c>
      <c r="R6" s="95">
        <f>+Q6/$Q$5</f>
        <v>0.15652797692216217</v>
      </c>
      <c r="S6" s="15">
        <f t="shared" ref="S6:S9" si="1">+Q6/$S$4</f>
        <v>135.40802875</v>
      </c>
      <c r="T6" s="86"/>
    </row>
    <row r="7" spans="2:20" x14ac:dyDescent="0.25">
      <c r="B7" s="10" t="s">
        <v>8</v>
      </c>
      <c r="C7" s="18"/>
      <c r="D7" s="8">
        <f>+D5-D6</f>
        <v>5837.31477</v>
      </c>
      <c r="E7" s="85">
        <f>+D7/$D$5</f>
        <v>0.84347202307783786</v>
      </c>
      <c r="F7" s="69">
        <f>+D7/8</f>
        <v>729.66434624999999</v>
      </c>
      <c r="G7" s="95">
        <f>+F7/$F$5</f>
        <v>0.84347202307783786</v>
      </c>
      <c r="H7" s="18"/>
      <c r="I7" s="18"/>
      <c r="J7" s="18"/>
      <c r="K7" s="18"/>
      <c r="L7" s="18"/>
      <c r="M7" s="18"/>
      <c r="N7" s="18"/>
      <c r="O7" s="18"/>
      <c r="P7" s="18"/>
      <c r="Q7" s="13">
        <f t="shared" si="0"/>
        <v>5837.31477</v>
      </c>
      <c r="R7" s="95">
        <f>+Q7/$Q$5</f>
        <v>0.84347202307783786</v>
      </c>
      <c r="S7" s="13">
        <f t="shared" si="1"/>
        <v>729.66434624999999</v>
      </c>
      <c r="T7" s="86"/>
    </row>
    <row r="8" spans="2:20" x14ac:dyDescent="0.25">
      <c r="B8" s="7" t="s">
        <v>6</v>
      </c>
      <c r="C8" s="18"/>
      <c r="D8" s="11">
        <f>3266.308+1475.692+367.453</f>
        <v>5109.4529999999995</v>
      </c>
      <c r="E8" s="84">
        <f>+D8/$D$5</f>
        <v>0.73829848629717254</v>
      </c>
      <c r="F8" s="70">
        <f>+D8/8</f>
        <v>638.68162499999994</v>
      </c>
      <c r="G8" s="95">
        <f>+F8/$F$5</f>
        <v>0.73829848629717254</v>
      </c>
      <c r="H8" s="18"/>
      <c r="I8" s="18"/>
      <c r="J8" s="18"/>
      <c r="K8" s="18"/>
      <c r="L8" s="18"/>
      <c r="M8" s="18"/>
      <c r="N8" s="18"/>
      <c r="O8" s="18"/>
      <c r="P8" s="18"/>
      <c r="Q8" s="15">
        <f t="shared" si="0"/>
        <v>5109.4529999999995</v>
      </c>
      <c r="R8" s="95">
        <f>+Q8/$Q$5</f>
        <v>0.73829848629717254</v>
      </c>
      <c r="S8" s="15">
        <f t="shared" si="1"/>
        <v>638.68162499999994</v>
      </c>
      <c r="T8" s="86"/>
    </row>
    <row r="9" spans="2:20" x14ac:dyDescent="0.25">
      <c r="B9" s="20" t="s">
        <v>16</v>
      </c>
      <c r="C9" s="18"/>
      <c r="D9" s="16">
        <f>+D5-D6-D8</f>
        <v>727.86177000000043</v>
      </c>
      <c r="E9" s="83">
        <f>+D9/$D$5</f>
        <v>0.10517353678066538</v>
      </c>
      <c r="F9" s="71">
        <f>+D9/8</f>
        <v>90.982721250000054</v>
      </c>
      <c r="G9" s="94">
        <f>+F9/$F$5</f>
        <v>0.10517353678066538</v>
      </c>
      <c r="H9" s="18"/>
      <c r="I9" s="18"/>
      <c r="J9" s="18"/>
      <c r="K9" s="18"/>
      <c r="L9" s="18"/>
      <c r="M9" s="18"/>
      <c r="N9" s="18"/>
      <c r="O9" s="18"/>
      <c r="P9" s="18"/>
      <c r="Q9" s="17">
        <f t="shared" si="0"/>
        <v>727.86177000000043</v>
      </c>
      <c r="R9" s="94">
        <f>+Q9/$Q$5</f>
        <v>0.10517353678066538</v>
      </c>
      <c r="S9" s="32">
        <f t="shared" si="1"/>
        <v>90.982721250000054</v>
      </c>
      <c r="T9" s="86"/>
    </row>
    <row r="10" spans="2:20" ht="7.5" customHeight="1" x14ac:dyDescent="0.25">
      <c r="B10" s="18"/>
      <c r="C10" s="18"/>
      <c r="D10" s="35"/>
      <c r="E10" s="86"/>
      <c r="F10" s="72"/>
      <c r="G10" s="9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02"/>
      <c r="S10" s="18"/>
      <c r="T10" s="86"/>
    </row>
    <row r="11" spans="2:20" x14ac:dyDescent="0.25">
      <c r="B11" s="19" t="s">
        <v>19</v>
      </c>
      <c r="C11" s="18"/>
      <c r="D11" s="35">
        <v>17</v>
      </c>
      <c r="E11" s="86"/>
      <c r="F11" s="72">
        <v>17</v>
      </c>
      <c r="G11" s="96"/>
      <c r="H11" s="18"/>
      <c r="I11" s="18"/>
      <c r="J11" s="18"/>
      <c r="K11" s="18"/>
      <c r="L11" s="18"/>
      <c r="M11" s="18"/>
      <c r="N11" s="18"/>
      <c r="O11" s="18"/>
      <c r="P11" s="18"/>
      <c r="Q11" s="15">
        <v>17</v>
      </c>
      <c r="R11" s="86"/>
      <c r="S11" s="31">
        <f>+Q11</f>
        <v>17</v>
      </c>
      <c r="T11" s="86"/>
    </row>
    <row r="12" spans="2:20" x14ac:dyDescent="0.25">
      <c r="B12" s="19" t="s">
        <v>17</v>
      </c>
      <c r="C12" s="18"/>
      <c r="D12" s="35">
        <f>2486.397+1475.692</f>
        <v>3962.0889999999999</v>
      </c>
      <c r="E12" s="86"/>
      <c r="F12" s="70">
        <f>+D12/8</f>
        <v>495.26112499999999</v>
      </c>
      <c r="G12" s="96"/>
      <c r="H12" s="18"/>
      <c r="I12" s="18"/>
      <c r="J12" s="18"/>
      <c r="K12" s="18"/>
      <c r="L12" s="18"/>
      <c r="M12" s="18"/>
      <c r="N12" s="18"/>
      <c r="O12" s="18"/>
      <c r="P12" s="18"/>
      <c r="Q12" s="15">
        <f t="shared" ref="Q12" si="2">+D12+H12+J12+L12+N12</f>
        <v>3962.0889999999999</v>
      </c>
      <c r="R12" s="86"/>
      <c r="S12" s="15">
        <f t="shared" ref="S12" si="3">+Q12/$S$4</f>
        <v>495.26112499999999</v>
      </c>
      <c r="T12" s="86"/>
    </row>
    <row r="13" spans="2:20" x14ac:dyDescent="0.25">
      <c r="B13" s="20" t="s">
        <v>20</v>
      </c>
      <c r="C13" s="18"/>
      <c r="D13" s="36">
        <f>+D12/D5</f>
        <v>0.57250831180454698</v>
      </c>
      <c r="E13" s="86"/>
      <c r="F13" s="73">
        <f>+F12/F5</f>
        <v>0.57250831180454698</v>
      </c>
      <c r="G13" s="96"/>
      <c r="H13" s="18"/>
      <c r="I13" s="18"/>
      <c r="J13" s="18"/>
      <c r="K13" s="18"/>
      <c r="L13" s="18"/>
      <c r="M13" s="18"/>
      <c r="N13" s="18"/>
      <c r="O13" s="18"/>
      <c r="P13" s="18"/>
      <c r="Q13" s="38">
        <f>+Q12/Q5</f>
        <v>0.57250831180454698</v>
      </c>
      <c r="R13" s="86"/>
      <c r="S13" s="38">
        <f>+S12/S5</f>
        <v>0.57250831180454698</v>
      </c>
      <c r="T13" s="86"/>
    </row>
    <row r="14" spans="2:20" x14ac:dyDescent="0.25">
      <c r="B14" s="20" t="s">
        <v>18</v>
      </c>
      <c r="C14" s="18"/>
      <c r="D14" s="8">
        <f>+D5/D11</f>
        <v>407.09288235294116</v>
      </c>
      <c r="E14" s="86"/>
      <c r="F14" s="74">
        <f>+F5/F11</f>
        <v>50.886610294117645</v>
      </c>
      <c r="G14" s="96"/>
      <c r="H14" s="18"/>
      <c r="I14" s="18"/>
      <c r="J14" s="18"/>
      <c r="K14" s="18"/>
      <c r="L14" s="18"/>
      <c r="M14" s="18"/>
      <c r="N14" s="18"/>
      <c r="O14" s="18"/>
      <c r="P14" s="18"/>
      <c r="Q14" s="39">
        <f>+Q5/Q11</f>
        <v>407.09288235294116</v>
      </c>
      <c r="R14" s="86"/>
      <c r="S14" s="39">
        <f>+S5/S11</f>
        <v>50.886610294117645</v>
      </c>
      <c r="T14" s="86"/>
    </row>
    <row r="15" spans="2:20" x14ac:dyDescent="0.25">
      <c r="B15" s="10" t="s">
        <v>54</v>
      </c>
      <c r="C15" s="18"/>
      <c r="D15" s="8">
        <f>+D12/D11</f>
        <v>233.06405882352942</v>
      </c>
      <c r="E15" s="86"/>
      <c r="F15" s="74">
        <f>+F12/F11</f>
        <v>29.133007352941178</v>
      </c>
      <c r="G15" s="96"/>
      <c r="H15" s="18"/>
      <c r="I15" s="18"/>
      <c r="J15" s="18"/>
      <c r="K15" s="18"/>
      <c r="L15" s="18"/>
      <c r="M15" s="18"/>
      <c r="N15" s="18"/>
      <c r="O15" s="18"/>
      <c r="P15" s="18"/>
      <c r="Q15" s="39">
        <f>+Q12/Q11</f>
        <v>233.06405882352942</v>
      </c>
      <c r="R15" s="86"/>
      <c r="S15" s="39">
        <f>+S12/S11</f>
        <v>29.133007352941178</v>
      </c>
      <c r="T15" s="86"/>
    </row>
    <row r="16" spans="2:20" x14ac:dyDescent="0.25">
      <c r="B16" s="20" t="s">
        <v>21</v>
      </c>
      <c r="C16" s="18"/>
      <c r="D16" s="36">
        <f>+D12/D7</f>
        <v>0.67875198719153529</v>
      </c>
      <c r="E16" s="86"/>
      <c r="F16" s="73">
        <f>+F12/F7</f>
        <v>0.67875198719153529</v>
      </c>
      <c r="G16" s="96"/>
      <c r="H16" s="18"/>
      <c r="I16" s="18"/>
      <c r="J16" s="18"/>
      <c r="K16" s="18"/>
      <c r="L16" s="18"/>
      <c r="M16" s="18"/>
      <c r="N16" s="18"/>
      <c r="O16" s="18"/>
      <c r="P16" s="18"/>
      <c r="Q16" s="38">
        <f>+Q12/Q7</f>
        <v>0.67875198719153529</v>
      </c>
      <c r="R16" s="86"/>
      <c r="S16" s="38">
        <f>+S12/S7</f>
        <v>0.67875198719153529</v>
      </c>
      <c r="T16" s="86"/>
    </row>
    <row r="17" spans="2:20" ht="7.5" customHeight="1" x14ac:dyDescent="0.25">
      <c r="B17" s="7"/>
      <c r="C17" s="18"/>
      <c r="D17" s="35"/>
      <c r="E17" s="86"/>
      <c r="F17" s="72"/>
      <c r="G17" s="9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86"/>
      <c r="S17" s="18"/>
      <c r="T17" s="86"/>
    </row>
    <row r="18" spans="2:20" x14ac:dyDescent="0.25">
      <c r="B18" s="19" t="s">
        <v>40</v>
      </c>
      <c r="C18" s="18"/>
      <c r="D18" s="11">
        <v>87813</v>
      </c>
      <c r="E18" s="87">
        <v>87813</v>
      </c>
      <c r="F18" s="70">
        <f t="shared" ref="F18:G20" si="4">+D18/8</f>
        <v>10976.625</v>
      </c>
      <c r="G18" s="97">
        <f t="shared" si="4"/>
        <v>10976.625</v>
      </c>
      <c r="H18" s="18"/>
      <c r="I18" s="18"/>
      <c r="J18" s="18"/>
      <c r="K18" s="18"/>
      <c r="L18" s="18"/>
      <c r="M18" s="18"/>
      <c r="N18" s="18"/>
      <c r="O18" s="18"/>
      <c r="P18" s="18"/>
      <c r="Q18" s="15">
        <f t="shared" ref="Q18:Q20" si="5">+D18+H18+J18+L18+N18</f>
        <v>87813</v>
      </c>
      <c r="R18" s="103">
        <f>+E18+I18+K18+M18</f>
        <v>87813</v>
      </c>
      <c r="S18" s="15">
        <f t="shared" ref="S18:T20" si="6">+Q18/$S$4</f>
        <v>10976.625</v>
      </c>
      <c r="T18" s="103">
        <f t="shared" si="6"/>
        <v>10976.625</v>
      </c>
    </row>
    <row r="19" spans="2:20" x14ac:dyDescent="0.25">
      <c r="B19" s="19" t="s">
        <v>41</v>
      </c>
      <c r="C19" s="18"/>
      <c r="D19" s="11">
        <f>13421+1038-376</f>
        <v>14083</v>
      </c>
      <c r="E19" s="88">
        <f>13421+1038</f>
        <v>14459</v>
      </c>
      <c r="F19" s="70">
        <f t="shared" si="4"/>
        <v>1760.375</v>
      </c>
      <c r="G19" s="97">
        <f t="shared" si="4"/>
        <v>1807.375</v>
      </c>
      <c r="H19" s="18"/>
      <c r="I19" s="18"/>
      <c r="J19" s="18"/>
      <c r="K19" s="18"/>
      <c r="L19" s="18"/>
      <c r="M19" s="18"/>
      <c r="N19" s="18"/>
      <c r="O19" s="18"/>
      <c r="P19" s="18"/>
      <c r="Q19" s="15">
        <f t="shared" si="5"/>
        <v>14083</v>
      </c>
      <c r="R19" s="103">
        <f>+E19+I19+K19+M19</f>
        <v>14459</v>
      </c>
      <c r="S19" s="15">
        <f t="shared" si="6"/>
        <v>1760.375</v>
      </c>
      <c r="T19" s="103">
        <f t="shared" si="6"/>
        <v>1807.375</v>
      </c>
    </row>
    <row r="20" spans="2:20" x14ac:dyDescent="0.25">
      <c r="B20" s="19" t="s">
        <v>42</v>
      </c>
      <c r="C20" s="18"/>
      <c r="D20" s="11">
        <f>87.4429+228.115-13.536+13.225+226.813</f>
        <v>542.05989999999997</v>
      </c>
      <c r="E20" s="88">
        <f>482.952+37.584</f>
        <v>520.53600000000006</v>
      </c>
      <c r="F20" s="70">
        <f t="shared" si="4"/>
        <v>67.757487499999996</v>
      </c>
      <c r="G20" s="97">
        <f t="shared" si="4"/>
        <v>65.067000000000007</v>
      </c>
      <c r="H20" s="18"/>
      <c r="I20" s="18"/>
      <c r="J20" s="18"/>
      <c r="K20" s="18"/>
      <c r="L20" s="18"/>
      <c r="M20" s="18"/>
      <c r="N20" s="18"/>
      <c r="O20" s="18"/>
      <c r="P20" s="18"/>
      <c r="Q20" s="15">
        <f t="shared" si="5"/>
        <v>542.05989999999997</v>
      </c>
      <c r="R20" s="103">
        <f>+E20+I20+K20+M20</f>
        <v>520.53600000000006</v>
      </c>
      <c r="S20" s="15">
        <f t="shared" si="6"/>
        <v>67.757487499999996</v>
      </c>
      <c r="T20" s="103">
        <f t="shared" si="6"/>
        <v>65.067000000000007</v>
      </c>
    </row>
    <row r="21" spans="2:20" x14ac:dyDescent="0.25">
      <c r="B21" s="20" t="s">
        <v>43</v>
      </c>
      <c r="C21" s="18"/>
      <c r="D21" s="53">
        <f>+D20/D19*1000</f>
        <v>38.490371369736557</v>
      </c>
      <c r="E21" s="89">
        <f>+E20/E19*1000</f>
        <v>36.00082993291376</v>
      </c>
      <c r="F21" s="75">
        <f>+F20/F19*1000</f>
        <v>38.490371369736557</v>
      </c>
      <c r="G21" s="98">
        <f>+G20/G19*1000</f>
        <v>36.00082993291376</v>
      </c>
      <c r="H21" s="18"/>
      <c r="I21" s="18"/>
      <c r="J21" s="18"/>
      <c r="K21" s="18"/>
      <c r="L21" s="18"/>
      <c r="M21" s="18"/>
      <c r="N21" s="18"/>
      <c r="O21" s="18"/>
      <c r="P21" s="18"/>
      <c r="Q21" s="54">
        <f>+Q20/Q19*1000</f>
        <v>38.490371369736557</v>
      </c>
      <c r="R21" s="98">
        <f>+R20/R19*1000</f>
        <v>36.00082993291376</v>
      </c>
      <c r="S21" s="54">
        <f>+S20/S19*1000</f>
        <v>38.490371369736557</v>
      </c>
      <c r="T21" s="98">
        <f>+T20/T19*1000</f>
        <v>36.00082993291376</v>
      </c>
    </row>
    <row r="22" spans="2:20" x14ac:dyDescent="0.25">
      <c r="B22" s="20" t="s">
        <v>44</v>
      </c>
      <c r="C22" s="18"/>
      <c r="D22" s="55">
        <f>+D19/D18</f>
        <v>0.1603748875451243</v>
      </c>
      <c r="E22" s="90"/>
      <c r="F22" s="76">
        <f>+F19/F18</f>
        <v>0.1603748875451243</v>
      </c>
      <c r="G22" s="99"/>
      <c r="H22" s="18"/>
      <c r="I22" s="18"/>
      <c r="J22" s="18"/>
      <c r="K22" s="18"/>
      <c r="L22" s="18"/>
      <c r="M22" s="18"/>
      <c r="N22" s="18"/>
      <c r="O22" s="18"/>
      <c r="P22" s="18"/>
      <c r="Q22" s="56">
        <f>+Q19/Q18</f>
        <v>0.1603748875451243</v>
      </c>
      <c r="R22" s="99"/>
      <c r="S22" s="56">
        <f>+S19/S18</f>
        <v>0.1603748875451243</v>
      </c>
      <c r="T22" s="99"/>
    </row>
    <row r="23" spans="2:20" x14ac:dyDescent="0.25">
      <c r="B23" s="10" t="s">
        <v>39</v>
      </c>
      <c r="C23" s="10"/>
      <c r="D23" s="57">
        <f>+D20*1000/(D18*D21)*100</f>
        <v>16.037488754512434</v>
      </c>
      <c r="E23" s="91"/>
      <c r="F23" s="77">
        <f>+F20/(F18*F21)*1000*100</f>
        <v>16.037488754512431</v>
      </c>
      <c r="G23" s="100"/>
      <c r="H23" s="18"/>
      <c r="I23" s="18"/>
      <c r="J23" s="18"/>
      <c r="K23" s="18"/>
      <c r="L23" s="18"/>
      <c r="M23" s="18"/>
      <c r="N23" s="18"/>
      <c r="O23" s="18"/>
      <c r="P23" s="18"/>
      <c r="Q23" s="58">
        <f>+Q20/(Q18*Q21)*1000*100</f>
        <v>16.037488754512431</v>
      </c>
      <c r="R23" s="100"/>
      <c r="S23" s="58">
        <f>+S20/(S18*S21)*1000*100</f>
        <v>16.037488754512431</v>
      </c>
      <c r="T23" s="100"/>
    </row>
    <row r="24" spans="2:20" ht="7.5" customHeight="1" x14ac:dyDescent="0.25">
      <c r="B24" s="18"/>
      <c r="E24" s="92"/>
      <c r="F24" s="78"/>
      <c r="G24" s="101"/>
      <c r="R24" s="92"/>
      <c r="T24" s="92"/>
    </row>
    <row r="25" spans="2:20" ht="15" customHeight="1" x14ac:dyDescent="0.25">
      <c r="B25" s="19" t="s">
        <v>49</v>
      </c>
      <c r="D25" s="11">
        <v>75.2</v>
      </c>
      <c r="E25" s="87"/>
      <c r="F25" s="70">
        <f t="shared" ref="F25:F29" si="7">+D25/8</f>
        <v>9.4</v>
      </c>
      <c r="G25" s="101"/>
      <c r="Q25" s="15">
        <f t="shared" ref="Q25:Q29" si="8">+D25+H25+J25+L25+N25</f>
        <v>75.2</v>
      </c>
      <c r="R25" s="92"/>
      <c r="S25" s="15">
        <f t="shared" ref="S25:S29" si="9">+Q25/$S$4</f>
        <v>9.4</v>
      </c>
      <c r="T25" s="92"/>
    </row>
    <row r="26" spans="2:20" ht="15" customHeight="1" x14ac:dyDescent="0.25">
      <c r="B26" s="19" t="s">
        <v>52</v>
      </c>
      <c r="D26" s="11">
        <v>1352</v>
      </c>
      <c r="E26" s="87"/>
      <c r="F26" s="70">
        <f t="shared" si="7"/>
        <v>169</v>
      </c>
      <c r="G26" s="101"/>
      <c r="Q26" s="15">
        <f t="shared" si="8"/>
        <v>1352</v>
      </c>
      <c r="R26" s="92"/>
      <c r="S26" s="15">
        <f t="shared" si="9"/>
        <v>169</v>
      </c>
      <c r="T26" s="92"/>
    </row>
    <row r="27" spans="2:20" ht="15" customHeight="1" x14ac:dyDescent="0.25">
      <c r="B27" s="20" t="s">
        <v>53</v>
      </c>
      <c r="D27" s="36">
        <f>+D25/D26</f>
        <v>5.562130177514793E-2</v>
      </c>
      <c r="E27" s="93"/>
      <c r="F27" s="73">
        <f>+F25/F26</f>
        <v>5.562130177514793E-2</v>
      </c>
      <c r="G27" s="101"/>
      <c r="Q27" s="36">
        <f>+Q25/Q26</f>
        <v>5.562130177514793E-2</v>
      </c>
      <c r="R27" s="92"/>
      <c r="S27" s="36">
        <f>+S25/S26</f>
        <v>5.562130177514793E-2</v>
      </c>
      <c r="T27" s="92"/>
    </row>
    <row r="28" spans="2:20" ht="15" customHeight="1" x14ac:dyDescent="0.25">
      <c r="B28" s="19" t="s">
        <v>45</v>
      </c>
      <c r="D28" s="11">
        <v>376</v>
      </c>
      <c r="E28" s="87"/>
      <c r="F28" s="70">
        <f t="shared" si="7"/>
        <v>47</v>
      </c>
      <c r="G28" s="101"/>
      <c r="Q28" s="15">
        <f t="shared" si="8"/>
        <v>376</v>
      </c>
      <c r="R28" s="92"/>
      <c r="S28" s="15">
        <f t="shared" si="9"/>
        <v>47</v>
      </c>
      <c r="T28" s="92"/>
    </row>
    <row r="29" spans="2:20" ht="15" customHeight="1" x14ac:dyDescent="0.25">
      <c r="B29" s="19" t="s">
        <v>46</v>
      </c>
      <c r="D29" s="11">
        <v>13.536</v>
      </c>
      <c r="E29" s="88"/>
      <c r="F29" s="70">
        <f t="shared" si="7"/>
        <v>1.6919999999999999</v>
      </c>
      <c r="G29" s="101"/>
      <c r="Q29" s="15">
        <f t="shared" si="8"/>
        <v>13.536</v>
      </c>
      <c r="R29" s="92"/>
      <c r="S29" s="15">
        <f t="shared" si="9"/>
        <v>1.6919999999999999</v>
      </c>
      <c r="T29" s="92"/>
    </row>
    <row r="30" spans="2:20" ht="15" customHeight="1" x14ac:dyDescent="0.25">
      <c r="B30" s="20" t="s">
        <v>47</v>
      </c>
      <c r="D30" s="53">
        <f>+D29/D28*1000</f>
        <v>36</v>
      </c>
      <c r="E30" s="92"/>
      <c r="F30" s="75">
        <f>+F29/F28*1000</f>
        <v>36</v>
      </c>
      <c r="G30" s="101"/>
      <c r="Q30" s="53">
        <f>+Q29/Q28*1000</f>
        <v>36</v>
      </c>
      <c r="R30" s="92"/>
      <c r="S30" s="53">
        <f>+S29/S28*1000</f>
        <v>36</v>
      </c>
      <c r="T30" s="92"/>
    </row>
    <row r="31" spans="2:20" ht="15" customHeight="1" x14ac:dyDescent="0.25">
      <c r="B31" s="20" t="s">
        <v>48</v>
      </c>
      <c r="D31" s="55">
        <f>+D28/D25</f>
        <v>5</v>
      </c>
      <c r="E31" s="92"/>
      <c r="F31" s="79">
        <f>+F28/F25</f>
        <v>5</v>
      </c>
      <c r="G31" s="101"/>
      <c r="Q31" s="55">
        <f>+Q28/Q25</f>
        <v>5</v>
      </c>
      <c r="R31" s="92"/>
      <c r="S31" s="55">
        <f>+S28/S25</f>
        <v>5</v>
      </c>
      <c r="T31" s="92"/>
    </row>
    <row r="32" spans="2:20" ht="15" customHeight="1" x14ac:dyDescent="0.25">
      <c r="B32" s="10" t="s">
        <v>50</v>
      </c>
      <c r="D32" s="57">
        <f>+D29*1000/(D25*D30)*100</f>
        <v>499.99999999999989</v>
      </c>
      <c r="E32" s="92"/>
      <c r="F32" s="77">
        <f>+F29*1000/(F25*F30)*100</f>
        <v>499.99999999999989</v>
      </c>
      <c r="G32" s="101"/>
      <c r="Q32" s="57">
        <f>+Q29*1000/(Q25*Q30)*100</f>
        <v>499.99999999999989</v>
      </c>
      <c r="R32" s="92"/>
      <c r="S32" s="57">
        <f>+S29*1000/(S25*S30)*100</f>
        <v>499.99999999999989</v>
      </c>
      <c r="T32" s="92"/>
    </row>
    <row r="33" spans="2:20" ht="15" customHeight="1" x14ac:dyDescent="0.25">
      <c r="B33" s="18"/>
      <c r="E33" s="92"/>
      <c r="F33" s="78"/>
      <c r="G33" s="101"/>
      <c r="R33" s="92"/>
      <c r="T33" s="92"/>
    </row>
    <row r="34" spans="2:20" x14ac:dyDescent="0.25">
      <c r="B34" s="22" t="s">
        <v>51</v>
      </c>
      <c r="C34" s="21"/>
      <c r="D34" s="23">
        <f>+D8/(1-D6/D5)</f>
        <v>6057.6437157400369</v>
      </c>
      <c r="E34" s="92"/>
      <c r="F34" s="80">
        <f>+F8/(1-F6/F5)</f>
        <v>757.20546446750461</v>
      </c>
      <c r="G34" s="101"/>
      <c r="Q34" s="34">
        <f>+Q8/(1-Q6/Q5)</f>
        <v>6057.6437157400369</v>
      </c>
      <c r="R34" s="104"/>
      <c r="S34" s="34">
        <f>+S8/(1-S6/S5)</f>
        <v>757.20546446750461</v>
      </c>
      <c r="T34" s="104"/>
    </row>
    <row r="35" spans="2:20" x14ac:dyDescent="0.25">
      <c r="F35" s="12"/>
    </row>
    <row r="36" spans="2:20" x14ac:dyDescent="0.25">
      <c r="F36" s="12"/>
    </row>
    <row r="37" spans="2:20" x14ac:dyDescent="0.25">
      <c r="F37" s="12"/>
    </row>
    <row r="38" spans="2:20" x14ac:dyDescent="0.25">
      <c r="F38" s="12"/>
    </row>
    <row r="39" spans="2:20" x14ac:dyDescent="0.25">
      <c r="F39" s="12"/>
    </row>
    <row r="40" spans="2:20" x14ac:dyDescent="0.25">
      <c r="F40" s="12"/>
    </row>
    <row r="41" spans="2:20" x14ac:dyDescent="0.25">
      <c r="F41" s="12"/>
    </row>
    <row r="42" spans="2:20" x14ac:dyDescent="0.25">
      <c r="F42" s="12"/>
    </row>
    <row r="43" spans="2:20" x14ac:dyDescent="0.25">
      <c r="F43" s="12"/>
    </row>
    <row r="44" spans="2:20" x14ac:dyDescent="0.25">
      <c r="F44" s="12"/>
    </row>
    <row r="45" spans="2:20" x14ac:dyDescent="0.25">
      <c r="F45" s="12"/>
    </row>
    <row r="46" spans="2:20" x14ac:dyDescent="0.25">
      <c r="F46" s="12"/>
    </row>
    <row r="47" spans="2:20" x14ac:dyDescent="0.25">
      <c r="F47" s="12"/>
    </row>
    <row r="48" spans="2:20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  <row r="78" spans="6:6" x14ac:dyDescent="0.25">
      <c r="F78" s="12"/>
    </row>
    <row r="79" spans="6:6" x14ac:dyDescent="0.25">
      <c r="F79" s="12"/>
    </row>
    <row r="80" spans="6:6" x14ac:dyDescent="0.25">
      <c r="F80" s="12"/>
    </row>
    <row r="81" spans="6:6" x14ac:dyDescent="0.25">
      <c r="F81" s="12"/>
    </row>
    <row r="82" spans="6:6" x14ac:dyDescent="0.25">
      <c r="F82" s="12"/>
    </row>
    <row r="83" spans="6:6" x14ac:dyDescent="0.25">
      <c r="F83" s="12"/>
    </row>
    <row r="84" spans="6:6" x14ac:dyDescent="0.25">
      <c r="F84" s="12"/>
    </row>
    <row r="85" spans="6:6" x14ac:dyDescent="0.25">
      <c r="F85" s="12"/>
    </row>
    <row r="86" spans="6:6" x14ac:dyDescent="0.25">
      <c r="F86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6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RowHeight="15" x14ac:dyDescent="0.2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 x14ac:dyDescent="0.25">
      <c r="B1" s="2" t="s">
        <v>0</v>
      </c>
      <c r="C1" s="59"/>
      <c r="D1" s="59"/>
      <c r="E1" s="59"/>
      <c r="F1" s="65"/>
      <c r="G1" s="60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2:20" x14ac:dyDescent="0.25">
      <c r="B2" s="49" t="s">
        <v>38</v>
      </c>
      <c r="C2" s="59"/>
      <c r="D2" s="3" t="s">
        <v>2</v>
      </c>
      <c r="E2" s="61" t="s">
        <v>22</v>
      </c>
      <c r="F2" s="66" t="s">
        <v>15</v>
      </c>
      <c r="G2" s="81" t="s">
        <v>22</v>
      </c>
      <c r="H2" s="3" t="s">
        <v>2</v>
      </c>
      <c r="I2" s="61" t="s">
        <v>12</v>
      </c>
      <c r="J2" s="3" t="s">
        <v>2</v>
      </c>
      <c r="K2" s="61" t="s">
        <v>12</v>
      </c>
      <c r="L2" s="3" t="s">
        <v>2</v>
      </c>
      <c r="M2" s="61" t="s">
        <v>12</v>
      </c>
      <c r="N2" s="3" t="s">
        <v>2</v>
      </c>
      <c r="O2" s="59"/>
      <c r="P2" s="59"/>
      <c r="Q2" s="3" t="s">
        <v>2</v>
      </c>
      <c r="R2" s="61" t="s">
        <v>22</v>
      </c>
      <c r="S2" s="62" t="s">
        <v>15</v>
      </c>
      <c r="T2" s="59"/>
    </row>
    <row r="3" spans="2:20" x14ac:dyDescent="0.25">
      <c r="B3" s="51" t="s">
        <v>1</v>
      </c>
      <c r="C3" s="59"/>
      <c r="D3" s="4" t="s">
        <v>3</v>
      </c>
      <c r="E3" s="25" t="s">
        <v>23</v>
      </c>
      <c r="F3" s="67" t="s">
        <v>3</v>
      </c>
      <c r="G3" s="82" t="s">
        <v>23</v>
      </c>
      <c r="H3" s="4" t="s">
        <v>7</v>
      </c>
      <c r="I3" s="63" t="s">
        <v>14</v>
      </c>
      <c r="J3" s="4" t="s">
        <v>9</v>
      </c>
      <c r="K3" s="63" t="s">
        <v>14</v>
      </c>
      <c r="L3" s="4" t="s">
        <v>10</v>
      </c>
      <c r="M3" s="63" t="s">
        <v>14</v>
      </c>
      <c r="N3" s="4" t="s">
        <v>11</v>
      </c>
      <c r="O3" s="59"/>
      <c r="P3" s="59"/>
      <c r="Q3" s="4" t="s">
        <v>13</v>
      </c>
      <c r="R3" s="25" t="s">
        <v>23</v>
      </c>
      <c r="S3" s="62" t="s">
        <v>35</v>
      </c>
      <c r="T3" s="25" t="s">
        <v>23</v>
      </c>
    </row>
    <row r="4" spans="2:20" x14ac:dyDescent="0.25">
      <c r="B4" s="52">
        <v>9404</v>
      </c>
      <c r="C4" s="59"/>
      <c r="D4" s="51" t="s">
        <v>24</v>
      </c>
      <c r="E4" s="3" t="s">
        <v>25</v>
      </c>
      <c r="F4" s="68" t="s">
        <v>24</v>
      </c>
      <c r="G4" s="37" t="s">
        <v>25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3" t="s">
        <v>25</v>
      </c>
      <c r="S4" s="62">
        <v>8</v>
      </c>
      <c r="T4" s="3" t="s">
        <v>25</v>
      </c>
    </row>
    <row r="5" spans="2:20" x14ac:dyDescent="0.25">
      <c r="B5" s="10" t="s">
        <v>4</v>
      </c>
      <c r="C5" s="18"/>
      <c r="D5" s="9">
        <f>221.18993+6086.96956</f>
        <v>6308.15949</v>
      </c>
      <c r="E5" s="83">
        <f>+D5/$D$5</f>
        <v>1</v>
      </c>
      <c r="F5" s="69">
        <f>+D5/8</f>
        <v>788.51993625</v>
      </c>
      <c r="G5" s="94">
        <f>+F5/$F$5</f>
        <v>1</v>
      </c>
      <c r="H5" s="18"/>
      <c r="I5" s="18"/>
      <c r="J5" s="18"/>
      <c r="K5" s="18"/>
      <c r="L5" s="18"/>
      <c r="M5" s="18"/>
      <c r="N5" s="18"/>
      <c r="O5" s="18"/>
      <c r="P5" s="18"/>
      <c r="Q5" s="33">
        <f>+D5+H5+J5+L5+N5</f>
        <v>6308.15949</v>
      </c>
      <c r="R5" s="94">
        <f>+Q5/$Q$5</f>
        <v>1</v>
      </c>
      <c r="S5" s="33">
        <f>+Q5/$S$4</f>
        <v>788.51993625</v>
      </c>
      <c r="T5" s="86"/>
    </row>
    <row r="6" spans="2:20" x14ac:dyDescent="0.25">
      <c r="B6" s="7" t="s">
        <v>5</v>
      </c>
      <c r="C6" s="18"/>
      <c r="D6" s="11">
        <f>37.63167+429.93964+76.30176+399.01212</f>
        <v>942.88518999999997</v>
      </c>
      <c r="E6" s="84">
        <f>+D6/$D$5</f>
        <v>0.14947072779226767</v>
      </c>
      <c r="F6" s="70">
        <f>+D6/8</f>
        <v>117.86064875</v>
      </c>
      <c r="G6" s="95">
        <f>+F6/$F$5</f>
        <v>0.14947072779226767</v>
      </c>
      <c r="H6" s="18"/>
      <c r="I6" s="18"/>
      <c r="J6" s="18"/>
      <c r="K6" s="18"/>
      <c r="L6" s="18"/>
      <c r="M6" s="18"/>
      <c r="N6" s="18"/>
      <c r="O6" s="18"/>
      <c r="P6" s="18"/>
      <c r="Q6" s="15">
        <f t="shared" ref="Q6:Q9" si="0">+D6+H6+J6+L6+N6</f>
        <v>942.88518999999997</v>
      </c>
      <c r="R6" s="95">
        <f>+Q6/$Q$5</f>
        <v>0.14947072779226767</v>
      </c>
      <c r="S6" s="15">
        <f t="shared" ref="S6:S9" si="1">+Q6/$S$4</f>
        <v>117.86064875</v>
      </c>
      <c r="T6" s="86"/>
    </row>
    <row r="7" spans="2:20" x14ac:dyDescent="0.25">
      <c r="B7" s="10" t="s">
        <v>8</v>
      </c>
      <c r="C7" s="18"/>
      <c r="D7" s="8">
        <f>+D5-D6</f>
        <v>5365.2743</v>
      </c>
      <c r="E7" s="85">
        <f>+D7/$D$5</f>
        <v>0.85052927220773233</v>
      </c>
      <c r="F7" s="69">
        <f>+D7/8</f>
        <v>670.6592875</v>
      </c>
      <c r="G7" s="95">
        <f>+F7/$F$5</f>
        <v>0.85052927220773233</v>
      </c>
      <c r="H7" s="18"/>
      <c r="I7" s="18"/>
      <c r="J7" s="18"/>
      <c r="K7" s="18"/>
      <c r="L7" s="18"/>
      <c r="M7" s="18"/>
      <c r="N7" s="18"/>
      <c r="O7" s="18"/>
      <c r="P7" s="18"/>
      <c r="Q7" s="13">
        <f t="shared" si="0"/>
        <v>5365.2743</v>
      </c>
      <c r="R7" s="95">
        <f>+Q7/$Q$5</f>
        <v>0.85052927220773233</v>
      </c>
      <c r="S7" s="13">
        <f t="shared" si="1"/>
        <v>670.6592875</v>
      </c>
      <c r="T7" s="86"/>
    </row>
    <row r="8" spans="2:20" x14ac:dyDescent="0.25">
      <c r="B8" s="7" t="s">
        <v>6</v>
      </c>
      <c r="C8" s="18"/>
      <c r="D8" s="11">
        <v>5389.9715699999997</v>
      </c>
      <c r="E8" s="84">
        <f>+D8/$D$5</f>
        <v>0.85444440308531255</v>
      </c>
      <c r="F8" s="70">
        <f>+D8/8</f>
        <v>673.74644624999996</v>
      </c>
      <c r="G8" s="95">
        <f>+F8/$F$5</f>
        <v>0.85444440308531255</v>
      </c>
      <c r="H8" s="18"/>
      <c r="I8" s="18"/>
      <c r="J8" s="18"/>
      <c r="K8" s="18"/>
      <c r="L8" s="18"/>
      <c r="M8" s="18"/>
      <c r="N8" s="18"/>
      <c r="O8" s="18"/>
      <c r="P8" s="18"/>
      <c r="Q8" s="15">
        <f t="shared" si="0"/>
        <v>5389.9715699999997</v>
      </c>
      <c r="R8" s="95">
        <f>+Q8/$Q$5</f>
        <v>0.85444440308531255</v>
      </c>
      <c r="S8" s="15">
        <f t="shared" si="1"/>
        <v>673.74644624999996</v>
      </c>
      <c r="T8" s="86"/>
    </row>
    <row r="9" spans="2:20" x14ac:dyDescent="0.25">
      <c r="B9" s="20" t="s">
        <v>16</v>
      </c>
      <c r="C9" s="18"/>
      <c r="D9" s="16">
        <f>+D5-D6-D8</f>
        <v>-24.697269999999662</v>
      </c>
      <c r="E9" s="83">
        <f>+D9/$D$5</f>
        <v>-3.9151308775802153E-3</v>
      </c>
      <c r="F9" s="71">
        <f>+D9/8</f>
        <v>-3.0871587499999578</v>
      </c>
      <c r="G9" s="94">
        <f>+F9/$F$5</f>
        <v>-3.9151308775802153E-3</v>
      </c>
      <c r="H9" s="18"/>
      <c r="I9" s="18"/>
      <c r="J9" s="18"/>
      <c r="K9" s="18"/>
      <c r="L9" s="18"/>
      <c r="M9" s="18"/>
      <c r="N9" s="18"/>
      <c r="O9" s="18"/>
      <c r="P9" s="18"/>
      <c r="Q9" s="17">
        <f t="shared" si="0"/>
        <v>-24.697269999999662</v>
      </c>
      <c r="R9" s="94">
        <f>+Q9/$Q$5</f>
        <v>-3.9151308775802153E-3</v>
      </c>
      <c r="S9" s="32">
        <f t="shared" si="1"/>
        <v>-3.0871587499999578</v>
      </c>
      <c r="T9" s="86"/>
    </row>
    <row r="10" spans="2:20" ht="7.5" customHeight="1" x14ac:dyDescent="0.25">
      <c r="B10" s="18"/>
      <c r="C10" s="18"/>
      <c r="D10" s="35"/>
      <c r="E10" s="86"/>
      <c r="F10" s="72"/>
      <c r="G10" s="9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02"/>
      <c r="S10" s="18"/>
      <c r="T10" s="86"/>
    </row>
    <row r="11" spans="2:20" x14ac:dyDescent="0.25">
      <c r="B11" s="19" t="s">
        <v>19</v>
      </c>
      <c r="C11" s="18"/>
      <c r="D11" s="35">
        <v>17</v>
      </c>
      <c r="E11" s="86"/>
      <c r="F11" s="72">
        <v>17</v>
      </c>
      <c r="G11" s="96"/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5">
        <v>17</v>
      </c>
      <c r="R11" s="86"/>
      <c r="S11" s="31">
        <f>+Q11</f>
        <v>17</v>
      </c>
      <c r="T11" s="86"/>
    </row>
    <row r="12" spans="2:20" x14ac:dyDescent="0.25">
      <c r="B12" s="19" t="s">
        <v>17</v>
      </c>
      <c r="C12" s="18"/>
      <c r="D12" s="35">
        <v>4033.0340000000001</v>
      </c>
      <c r="E12" s="86"/>
      <c r="F12" s="70">
        <f>+D12/8</f>
        <v>504.12925000000001</v>
      </c>
      <c r="G12" s="96"/>
      <c r="H12" s="18"/>
      <c r="I12" s="18"/>
      <c r="J12" s="18"/>
      <c r="K12" s="18"/>
      <c r="L12" s="18"/>
      <c r="M12" s="18"/>
      <c r="N12" s="18"/>
      <c r="O12" s="18"/>
      <c r="P12" s="18"/>
      <c r="Q12" s="15">
        <f t="shared" ref="Q12" si="2">+D12+H12+J12+L12+N12</f>
        <v>4033.0340000000001</v>
      </c>
      <c r="R12" s="86"/>
      <c r="S12" s="15">
        <f t="shared" ref="S12" si="3">+Q12/$S$4</f>
        <v>504.12925000000001</v>
      </c>
      <c r="T12" s="86"/>
    </row>
    <row r="13" spans="2:20" x14ac:dyDescent="0.25">
      <c r="B13" s="20" t="s">
        <v>20</v>
      </c>
      <c r="C13" s="18"/>
      <c r="D13" s="36">
        <f>+D12/D5</f>
        <v>0.63933608628528826</v>
      </c>
      <c r="E13" s="86"/>
      <c r="F13" s="73">
        <f>+F12/F5</f>
        <v>0.63933608628528826</v>
      </c>
      <c r="G13" s="96"/>
      <c r="H13" s="18"/>
      <c r="I13" s="18"/>
      <c r="J13" s="18"/>
      <c r="K13" s="18"/>
      <c r="L13" s="18"/>
      <c r="M13" s="18"/>
      <c r="N13" s="18"/>
      <c r="O13" s="18"/>
      <c r="P13" s="18"/>
      <c r="Q13" s="38">
        <f>+Q12/Q5</f>
        <v>0.63933608628528826</v>
      </c>
      <c r="R13" s="86"/>
      <c r="S13" s="38">
        <f>+S12/S5</f>
        <v>0.63933608628528826</v>
      </c>
      <c r="T13" s="86"/>
    </row>
    <row r="14" spans="2:20" x14ac:dyDescent="0.25">
      <c r="B14" s="20" t="s">
        <v>18</v>
      </c>
      <c r="C14" s="18"/>
      <c r="D14" s="8">
        <f>+D5/D11</f>
        <v>371.06820529411766</v>
      </c>
      <c r="E14" s="86"/>
      <c r="F14" s="74">
        <f>+F5/F11</f>
        <v>46.383525661764708</v>
      </c>
      <c r="G14" s="96"/>
      <c r="H14" s="18"/>
      <c r="I14" s="18"/>
      <c r="J14" s="18"/>
      <c r="K14" s="18"/>
      <c r="L14" s="18"/>
      <c r="M14" s="18"/>
      <c r="N14" s="18"/>
      <c r="O14" s="18"/>
      <c r="P14" s="18"/>
      <c r="Q14" s="39">
        <f>+Q5/Q11</f>
        <v>371.06820529411766</v>
      </c>
      <c r="R14" s="86"/>
      <c r="S14" s="39">
        <f>+S5/S11</f>
        <v>46.383525661764708</v>
      </c>
      <c r="T14" s="86"/>
    </row>
    <row r="15" spans="2:20" x14ac:dyDescent="0.25">
      <c r="B15" s="10" t="s">
        <v>54</v>
      </c>
      <c r="C15" s="18"/>
      <c r="D15" s="8">
        <f>+D12/D11</f>
        <v>237.23729411764705</v>
      </c>
      <c r="E15" s="86"/>
      <c r="F15" s="74">
        <f>+F12/F11</f>
        <v>29.654661764705882</v>
      </c>
      <c r="G15" s="96"/>
      <c r="H15" s="18"/>
      <c r="I15" s="18"/>
      <c r="J15" s="18"/>
      <c r="K15" s="18"/>
      <c r="L15" s="18"/>
      <c r="M15" s="18"/>
      <c r="N15" s="18"/>
      <c r="O15" s="18"/>
      <c r="P15" s="18"/>
      <c r="Q15" s="39">
        <f>+Q12/Q11</f>
        <v>237.23729411764705</v>
      </c>
      <c r="R15" s="86"/>
      <c r="S15" s="39">
        <f>+S12/S11</f>
        <v>29.654661764705882</v>
      </c>
      <c r="T15" s="86"/>
    </row>
    <row r="16" spans="2:20" x14ac:dyDescent="0.25">
      <c r="B16" s="20" t="s">
        <v>21</v>
      </c>
      <c r="C16" s="18"/>
      <c r="D16" s="36">
        <f>+D12/D7</f>
        <v>0.75169204303310277</v>
      </c>
      <c r="E16" s="86"/>
      <c r="F16" s="73">
        <f>+F12/F7</f>
        <v>0.75169204303310277</v>
      </c>
      <c r="G16" s="96"/>
      <c r="H16" s="18"/>
      <c r="I16" s="18"/>
      <c r="J16" s="18"/>
      <c r="K16" s="18"/>
      <c r="L16" s="18"/>
      <c r="M16" s="18"/>
      <c r="N16" s="18"/>
      <c r="O16" s="18"/>
      <c r="P16" s="18"/>
      <c r="Q16" s="38">
        <f>+Q12/Q7</f>
        <v>0.75169204303310277</v>
      </c>
      <c r="R16" s="86"/>
      <c r="S16" s="38">
        <f>+S12/S7</f>
        <v>0.75169204303310277</v>
      </c>
      <c r="T16" s="86"/>
    </row>
    <row r="17" spans="2:20" ht="7.5" customHeight="1" x14ac:dyDescent="0.25">
      <c r="B17" s="7"/>
      <c r="C17" s="18"/>
      <c r="D17" s="35"/>
      <c r="E17" s="86"/>
      <c r="F17" s="72"/>
      <c r="G17" s="9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86"/>
      <c r="S17" s="18"/>
      <c r="T17" s="86"/>
    </row>
    <row r="18" spans="2:20" x14ac:dyDescent="0.25">
      <c r="B18" s="19" t="s">
        <v>40</v>
      </c>
      <c r="C18" s="18"/>
      <c r="D18" s="11">
        <f>78229+12496</f>
        <v>90725</v>
      </c>
      <c r="E18" s="87">
        <f>78229+12496</f>
        <v>90725</v>
      </c>
      <c r="F18" s="70">
        <f t="shared" ref="F18:G20" si="4">+D18/8</f>
        <v>11340.625</v>
      </c>
      <c r="G18" s="97">
        <f t="shared" si="4"/>
        <v>11340.625</v>
      </c>
      <c r="H18" s="18"/>
      <c r="I18" s="18"/>
      <c r="J18" s="18"/>
      <c r="K18" s="18"/>
      <c r="L18" s="18"/>
      <c r="M18" s="18"/>
      <c r="N18" s="18"/>
      <c r="O18" s="18"/>
      <c r="P18" s="18"/>
      <c r="Q18" s="15">
        <f t="shared" ref="Q18:Q20" si="5">+D18+H18+J18+L18+N18</f>
        <v>90725</v>
      </c>
      <c r="R18" s="103">
        <f>+E18+I18+K18+M18</f>
        <v>90725</v>
      </c>
      <c r="S18" s="15">
        <f t="shared" ref="S18:T20" si="6">+Q18/$S$4</f>
        <v>11340.625</v>
      </c>
      <c r="T18" s="103">
        <f t="shared" si="6"/>
        <v>11340.625</v>
      </c>
    </row>
    <row r="19" spans="2:20" x14ac:dyDescent="0.25">
      <c r="B19" s="19" t="s">
        <v>41</v>
      </c>
      <c r="C19" s="18"/>
      <c r="D19" s="11">
        <f>7462.6-85.06+1472+125</f>
        <v>8974.5400000000009</v>
      </c>
      <c r="E19" s="87">
        <f>7462.6-85.06+1472+125</f>
        <v>8974.5400000000009</v>
      </c>
      <c r="F19" s="70">
        <f t="shared" si="4"/>
        <v>1121.8175000000001</v>
      </c>
      <c r="G19" s="97">
        <f t="shared" si="4"/>
        <v>1121.8175000000001</v>
      </c>
      <c r="H19" s="18"/>
      <c r="I19" s="18"/>
      <c r="J19" s="18"/>
      <c r="K19" s="18"/>
      <c r="L19" s="18"/>
      <c r="M19" s="18"/>
      <c r="N19" s="18"/>
      <c r="O19" s="18"/>
      <c r="P19" s="18"/>
      <c r="Q19" s="15">
        <f t="shared" si="5"/>
        <v>8974.5400000000009</v>
      </c>
      <c r="R19" s="103">
        <f>+E19+I19+K19+M19</f>
        <v>8974.5400000000009</v>
      </c>
      <c r="S19" s="15">
        <f t="shared" si="6"/>
        <v>1121.8175000000001</v>
      </c>
      <c r="T19" s="103">
        <f t="shared" si="6"/>
        <v>1121.8175000000001</v>
      </c>
    </row>
    <row r="20" spans="2:20" x14ac:dyDescent="0.25">
      <c r="B20" s="19" t="s">
        <v>42</v>
      </c>
      <c r="C20" s="18"/>
      <c r="D20" s="11">
        <f>37.63167+429.93964-3.05179-1.692</f>
        <v>462.82751999999999</v>
      </c>
      <c r="E20" s="88">
        <f>269.40789+54.724+4.576</f>
        <v>328.70789000000002</v>
      </c>
      <c r="F20" s="70">
        <f t="shared" si="4"/>
        <v>57.853439999999999</v>
      </c>
      <c r="G20" s="97">
        <f t="shared" si="4"/>
        <v>41.088486250000003</v>
      </c>
      <c r="H20" s="18"/>
      <c r="I20" s="18"/>
      <c r="J20" s="18"/>
      <c r="K20" s="18"/>
      <c r="L20" s="18"/>
      <c r="M20" s="18"/>
      <c r="N20" s="18"/>
      <c r="O20" s="18"/>
      <c r="P20" s="18"/>
      <c r="Q20" s="15">
        <f t="shared" si="5"/>
        <v>462.82751999999999</v>
      </c>
      <c r="R20" s="103">
        <f>+E20+I20+K20+M20</f>
        <v>328.70789000000002</v>
      </c>
      <c r="S20" s="15">
        <f t="shared" si="6"/>
        <v>57.853439999999999</v>
      </c>
      <c r="T20" s="103">
        <f t="shared" si="6"/>
        <v>41.088486250000003</v>
      </c>
    </row>
    <row r="21" spans="2:20" x14ac:dyDescent="0.25">
      <c r="B21" s="20" t="s">
        <v>43</v>
      </c>
      <c r="C21" s="18"/>
      <c r="D21" s="53">
        <f>+D20/D19*1000</f>
        <v>51.571169107274571</v>
      </c>
      <c r="E21" s="89">
        <f>+E20/E19*1000</f>
        <v>36.626711786899385</v>
      </c>
      <c r="F21" s="75">
        <f>+F20/F19*1000</f>
        <v>51.571169107274571</v>
      </c>
      <c r="G21" s="98">
        <f>+G20/G19*1000</f>
        <v>36.626711786899385</v>
      </c>
      <c r="H21" s="18"/>
      <c r="I21" s="18"/>
      <c r="J21" s="18"/>
      <c r="K21" s="18"/>
      <c r="L21" s="18"/>
      <c r="M21" s="18"/>
      <c r="N21" s="18"/>
      <c r="O21" s="18"/>
      <c r="P21" s="18"/>
      <c r="Q21" s="54">
        <f>+Q20/Q19*1000</f>
        <v>51.571169107274571</v>
      </c>
      <c r="R21" s="98">
        <f>+R20/R19*1000</f>
        <v>36.626711786899385</v>
      </c>
      <c r="S21" s="54">
        <f>+S20/S19*1000</f>
        <v>51.571169107274571</v>
      </c>
      <c r="T21" s="98">
        <f>+T20/T19*1000</f>
        <v>36.626711786899385</v>
      </c>
    </row>
    <row r="22" spans="2:20" x14ac:dyDescent="0.25">
      <c r="B22" s="20" t="s">
        <v>44</v>
      </c>
      <c r="C22" s="18"/>
      <c r="D22" s="55">
        <f>+D19/D18</f>
        <v>9.8920253513364573E-2</v>
      </c>
      <c r="E22" s="90"/>
      <c r="F22" s="76">
        <f>+F19/F18</f>
        <v>9.8920253513364573E-2</v>
      </c>
      <c r="G22" s="99"/>
      <c r="H22" s="18"/>
      <c r="I22" s="18"/>
      <c r="J22" s="18"/>
      <c r="K22" s="18"/>
      <c r="L22" s="18"/>
      <c r="M22" s="18"/>
      <c r="N22" s="18"/>
      <c r="O22" s="18"/>
      <c r="P22" s="18"/>
      <c r="Q22" s="56">
        <f>+Q19/Q18</f>
        <v>9.8920253513364573E-2</v>
      </c>
      <c r="R22" s="99"/>
      <c r="S22" s="56">
        <f>+S19/S18</f>
        <v>9.8920253513364573E-2</v>
      </c>
      <c r="T22" s="99"/>
    </row>
    <row r="23" spans="2:20" x14ac:dyDescent="0.25">
      <c r="B23" s="10" t="s">
        <v>39</v>
      </c>
      <c r="C23" s="10"/>
      <c r="D23" s="57">
        <f>+D20*1000/(D18*D21)*100</f>
        <v>9.8920253513364589</v>
      </c>
      <c r="E23" s="91"/>
      <c r="F23" s="77">
        <f>+F20/(F18*F21)*1000*100</f>
        <v>9.8920253513364571</v>
      </c>
      <c r="G23" s="100"/>
      <c r="H23" s="18"/>
      <c r="I23" s="18"/>
      <c r="J23" s="18"/>
      <c r="K23" s="18"/>
      <c r="L23" s="18"/>
      <c r="M23" s="18"/>
      <c r="N23" s="18"/>
      <c r="O23" s="18"/>
      <c r="P23" s="18"/>
      <c r="Q23" s="58">
        <f>+Q20/(Q18*Q21)*1000*100</f>
        <v>9.8920253513364571</v>
      </c>
      <c r="R23" s="100"/>
      <c r="S23" s="58">
        <f>+S20/(S18*S21)*1000*100</f>
        <v>9.8920253513364571</v>
      </c>
      <c r="T23" s="100"/>
    </row>
    <row r="24" spans="2:20" ht="7.5" customHeight="1" x14ac:dyDescent="0.25">
      <c r="B24" s="18"/>
      <c r="E24" s="92"/>
      <c r="F24" s="78"/>
      <c r="G24" s="101"/>
      <c r="R24" s="92"/>
      <c r="T24" s="92"/>
    </row>
    <row r="25" spans="2:20" ht="15" customHeight="1" x14ac:dyDescent="0.25">
      <c r="B25" s="19" t="s">
        <v>49</v>
      </c>
      <c r="D25" s="11">
        <f>33+9.4</f>
        <v>42.4</v>
      </c>
      <c r="E25" s="87"/>
      <c r="F25" s="70">
        <f t="shared" ref="F25:F29" si="7">+D25/8</f>
        <v>5.3</v>
      </c>
      <c r="G25" s="97"/>
      <c r="Q25" s="15">
        <f t="shared" ref="Q25:Q29" si="8">+D25+H25+J25+L25+N25</f>
        <v>42.4</v>
      </c>
      <c r="R25" s="92"/>
      <c r="S25" s="15">
        <f t="shared" ref="S25:S29" si="9">+Q25/$S$4</f>
        <v>5.3</v>
      </c>
      <c r="T25" s="92"/>
    </row>
    <row r="26" spans="2:20" ht="15" customHeight="1" x14ac:dyDescent="0.25">
      <c r="B26" s="19" t="s">
        <v>52</v>
      </c>
      <c r="D26" s="11">
        <v>1352</v>
      </c>
      <c r="E26" s="87"/>
      <c r="F26" s="70">
        <f t="shared" si="7"/>
        <v>169</v>
      </c>
      <c r="G26" s="97"/>
      <c r="Q26" s="15">
        <f t="shared" si="8"/>
        <v>1352</v>
      </c>
      <c r="R26" s="92"/>
      <c r="S26" s="15">
        <f t="shared" si="9"/>
        <v>169</v>
      </c>
      <c r="T26" s="92"/>
    </row>
    <row r="27" spans="2:20" ht="15" customHeight="1" x14ac:dyDescent="0.25">
      <c r="B27" s="20" t="s">
        <v>53</v>
      </c>
      <c r="D27" s="36">
        <f>+D25/D26</f>
        <v>3.1360946745562127E-2</v>
      </c>
      <c r="E27" s="93"/>
      <c r="F27" s="73">
        <f>+F25/F26</f>
        <v>3.1360946745562127E-2</v>
      </c>
      <c r="G27" s="97"/>
      <c r="Q27" s="36">
        <f>+Q25/Q26</f>
        <v>3.1360946745562127E-2</v>
      </c>
      <c r="R27" s="92"/>
      <c r="S27" s="36">
        <f>+S25/S26</f>
        <v>3.1360946745562127E-2</v>
      </c>
      <c r="T27" s="92"/>
    </row>
    <row r="28" spans="2:20" ht="15" customHeight="1" x14ac:dyDescent="0.25">
      <c r="B28" s="19" t="s">
        <v>45</v>
      </c>
      <c r="D28" s="11">
        <f>85.06+47</f>
        <v>132.06</v>
      </c>
      <c r="E28" s="87"/>
      <c r="F28" s="70">
        <f t="shared" si="7"/>
        <v>16.5075</v>
      </c>
      <c r="G28" s="97"/>
      <c r="Q28" s="15">
        <f t="shared" si="8"/>
        <v>132.06</v>
      </c>
      <c r="R28" s="92"/>
      <c r="S28" s="15">
        <f t="shared" si="9"/>
        <v>16.5075</v>
      </c>
      <c r="T28" s="92"/>
    </row>
    <row r="29" spans="2:20" ht="15" customHeight="1" x14ac:dyDescent="0.25">
      <c r="B29" s="19" t="s">
        <v>46</v>
      </c>
      <c r="D29" s="11">
        <f>3.05179+1.692</f>
        <v>4.7437899999999997</v>
      </c>
      <c r="E29" s="88"/>
      <c r="F29" s="70">
        <f t="shared" si="7"/>
        <v>0.59297374999999997</v>
      </c>
      <c r="G29" s="97"/>
      <c r="Q29" s="15">
        <f t="shared" si="8"/>
        <v>4.7437899999999997</v>
      </c>
      <c r="R29" s="92"/>
      <c r="S29" s="15">
        <f t="shared" si="9"/>
        <v>0.59297374999999997</v>
      </c>
      <c r="T29" s="92"/>
    </row>
    <row r="30" spans="2:20" ht="15" customHeight="1" x14ac:dyDescent="0.25">
      <c r="B30" s="20" t="s">
        <v>47</v>
      </c>
      <c r="D30" s="53">
        <f>+D29/D28*1000</f>
        <v>35.921475087081625</v>
      </c>
      <c r="E30" s="92"/>
      <c r="F30" s="75">
        <f>+F29/F28*1000</f>
        <v>35.921475087081625</v>
      </c>
      <c r="G30" s="101"/>
      <c r="Q30" s="53">
        <f>+Q29/Q28*1000</f>
        <v>35.921475087081625</v>
      </c>
      <c r="R30" s="92"/>
      <c r="S30" s="53">
        <f>+S29/S28*1000</f>
        <v>35.921475087081625</v>
      </c>
      <c r="T30" s="92"/>
    </row>
    <row r="31" spans="2:20" ht="15" customHeight="1" x14ac:dyDescent="0.25">
      <c r="B31" s="20" t="s">
        <v>48</v>
      </c>
      <c r="D31" s="55">
        <f>+D28/D25</f>
        <v>3.1146226415094342</v>
      </c>
      <c r="E31" s="92"/>
      <c r="F31" s="79">
        <f>+F28/F25</f>
        <v>3.1146226415094342</v>
      </c>
      <c r="G31" s="101"/>
      <c r="Q31" s="55">
        <f>+Q28/Q25</f>
        <v>3.1146226415094342</v>
      </c>
      <c r="R31" s="92"/>
      <c r="S31" s="55">
        <f>+S28/S25</f>
        <v>3.1146226415094342</v>
      </c>
      <c r="T31" s="92"/>
    </row>
    <row r="32" spans="2:20" ht="15" customHeight="1" x14ac:dyDescent="0.25">
      <c r="B32" s="10" t="s">
        <v>50</v>
      </c>
      <c r="D32" s="57">
        <f>+D29*1000/(D25*D30)*100</f>
        <v>311.4622641509435</v>
      </c>
      <c r="E32" s="92"/>
      <c r="F32" s="77">
        <f>+F29*1000/(F25*F30)*100</f>
        <v>311.4622641509435</v>
      </c>
      <c r="G32" s="101"/>
      <c r="Q32" s="57">
        <f>+Q29*1000/(Q25*Q30)*100</f>
        <v>311.4622641509435</v>
      </c>
      <c r="R32" s="92"/>
      <c r="S32" s="57">
        <f>+S29*1000/(S25*S30)*100</f>
        <v>311.4622641509435</v>
      </c>
      <c r="T32" s="92"/>
    </row>
    <row r="33" spans="2:20" ht="15" customHeight="1" x14ac:dyDescent="0.25">
      <c r="B33" s="18"/>
      <c r="E33" s="92"/>
      <c r="F33" s="78"/>
      <c r="G33" s="101"/>
      <c r="R33" s="92"/>
      <c r="T33" s="92"/>
    </row>
    <row r="34" spans="2:20" x14ac:dyDescent="0.25">
      <c r="B34" s="22" t="s">
        <v>51</v>
      </c>
      <c r="C34" s="21"/>
      <c r="D34" s="23">
        <f>+D8/(1-D6/D5)</f>
        <v>6337.1970208728562</v>
      </c>
      <c r="E34" s="92"/>
      <c r="F34" s="80">
        <f>+F8/(1-F6/F5)</f>
        <v>792.14962760910703</v>
      </c>
      <c r="G34" s="101"/>
      <c r="Q34" s="34">
        <f>+Q8/(1-Q6/Q5)</f>
        <v>6337.1970208728562</v>
      </c>
      <c r="R34" s="104"/>
      <c r="S34" s="34">
        <f>+S8/(1-S6/S5)</f>
        <v>792.14962760910703</v>
      </c>
      <c r="T34" s="104"/>
    </row>
    <row r="35" spans="2:20" x14ac:dyDescent="0.25">
      <c r="F35" s="12"/>
    </row>
    <row r="36" spans="2:20" x14ac:dyDescent="0.25">
      <c r="F36" s="12"/>
    </row>
    <row r="37" spans="2:20" x14ac:dyDescent="0.25">
      <c r="F37" s="12"/>
    </row>
    <row r="38" spans="2:20" x14ac:dyDescent="0.25">
      <c r="F38" s="12"/>
    </row>
    <row r="39" spans="2:20" x14ac:dyDescent="0.25">
      <c r="F39" s="12"/>
    </row>
    <row r="40" spans="2:20" x14ac:dyDescent="0.25">
      <c r="F40" s="12"/>
    </row>
    <row r="41" spans="2:20" x14ac:dyDescent="0.25">
      <c r="F41" s="12"/>
    </row>
    <row r="42" spans="2:20" x14ac:dyDescent="0.25">
      <c r="F42" s="12"/>
    </row>
    <row r="43" spans="2:20" x14ac:dyDescent="0.25">
      <c r="F43" s="12"/>
    </row>
    <row r="44" spans="2:20" x14ac:dyDescent="0.25">
      <c r="F44" s="12"/>
    </row>
    <row r="45" spans="2:20" x14ac:dyDescent="0.25">
      <c r="F45" s="12"/>
    </row>
    <row r="46" spans="2:20" x14ac:dyDescent="0.25">
      <c r="F46" s="12"/>
    </row>
    <row r="47" spans="2:20" x14ac:dyDescent="0.25">
      <c r="F47" s="12"/>
    </row>
    <row r="48" spans="2:20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  <row r="78" spans="6:6" x14ac:dyDescent="0.25">
      <c r="F78" s="12"/>
    </row>
    <row r="79" spans="6:6" x14ac:dyDescent="0.25">
      <c r="F79" s="12"/>
    </row>
    <row r="80" spans="6:6" x14ac:dyDescent="0.25">
      <c r="F80" s="12"/>
    </row>
    <row r="81" spans="6:6" x14ac:dyDescent="0.25">
      <c r="F81" s="12"/>
    </row>
    <row r="82" spans="6:6" x14ac:dyDescent="0.25">
      <c r="F82" s="12"/>
    </row>
    <row r="83" spans="6:6" x14ac:dyDescent="0.25">
      <c r="F83" s="12"/>
    </row>
    <row r="84" spans="6:6" x14ac:dyDescent="0.25">
      <c r="F84" s="12"/>
    </row>
    <row r="85" spans="6:6" x14ac:dyDescent="0.25">
      <c r="F85" s="12"/>
    </row>
    <row r="86" spans="6:6" x14ac:dyDescent="0.25">
      <c r="F86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2013</vt:lpstr>
      <vt:lpstr>2014</vt:lpstr>
      <vt:lpstr>'2013'!Oblast_tisku</vt:lpstr>
      <vt:lpstr>'2014'!Oblast_tisku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ZdeHa</cp:lastModifiedBy>
  <cp:lastPrinted>2014-10-15T07:04:50Z</cp:lastPrinted>
  <dcterms:created xsi:type="dcterms:W3CDTF">2014-10-14T11:21:48Z</dcterms:created>
  <dcterms:modified xsi:type="dcterms:W3CDTF">2014-10-22T17:17:57Z</dcterms:modified>
</cp:coreProperties>
</file>