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05" windowWidth="19155" windowHeight="11760"/>
  </bookViews>
  <sheets>
    <sheet name="CoY" sheetId="5" r:id="rId1"/>
    <sheet name="CoM" sheetId="6" r:id="rId2"/>
    <sheet name="2013" sheetId="4" r:id="rId3"/>
    <sheet name="2014" sheetId="1" r:id="rId4"/>
  </sheets>
  <definedNames>
    <definedName name="_xlnm.Print_Area" localSheetId="2">'2013'!$B$1:$Y$26</definedName>
    <definedName name="_xlnm.Print_Area" localSheetId="3">'2014'!$A$1:$Y$26</definedName>
    <definedName name="_xlnm.Print_Area" localSheetId="1">CoM!$A$1:$M$26</definedName>
    <definedName name="_xlnm.Print_Area" localSheetId="0">CoY!$B$1:$M$26</definedName>
  </definedNames>
  <calcPr calcId="125725"/>
</workbook>
</file>

<file path=xl/calcChain.xml><?xml version="1.0" encoding="utf-8"?>
<calcChain xmlns="http://schemas.openxmlformats.org/spreadsheetml/2006/main">
  <c r="H24" i="5"/>
  <c r="G24"/>
  <c r="E24"/>
  <c r="D24"/>
  <c r="H23"/>
  <c r="G23"/>
  <c r="E23"/>
  <c r="D23"/>
  <c r="H22"/>
  <c r="G22"/>
  <c r="E22"/>
  <c r="D22"/>
  <c r="K24"/>
  <c r="J24"/>
  <c r="K24" i="6"/>
  <c r="J24"/>
  <c r="I4" i="5"/>
  <c r="AC4" i="1"/>
  <c r="AC19" s="1"/>
  <c r="F4" i="5"/>
  <c r="Z4" i="1"/>
  <c r="Z20" s="1"/>
  <c r="Z4" i="4"/>
  <c r="AC4" s="1"/>
  <c r="L20" i="6"/>
  <c r="L19"/>
  <c r="L18"/>
  <c r="L21"/>
  <c r="M21"/>
  <c r="L12"/>
  <c r="L11"/>
  <c r="L9"/>
  <c r="L8"/>
  <c r="L7"/>
  <c r="L6"/>
  <c r="L5"/>
  <c r="L20" i="4"/>
  <c r="L19"/>
  <c r="L18"/>
  <c r="I20"/>
  <c r="I19"/>
  <c r="I18"/>
  <c r="K18" i="6"/>
  <c r="K19"/>
  <c r="K20"/>
  <c r="I20"/>
  <c r="I19"/>
  <c r="I18"/>
  <c r="F20"/>
  <c r="F19"/>
  <c r="F18"/>
  <c r="F20" i="4"/>
  <c r="F19"/>
  <c r="F18"/>
  <c r="AC20" i="1"/>
  <c r="AC18"/>
  <c r="AB18"/>
  <c r="AB19"/>
  <c r="AB20"/>
  <c r="Z19"/>
  <c r="Z18"/>
  <c r="L20"/>
  <c r="L19"/>
  <c r="L18"/>
  <c r="I20"/>
  <c r="I19"/>
  <c r="I18"/>
  <c r="I4" i="6"/>
  <c r="I12"/>
  <c r="F4"/>
  <c r="AA24" i="4"/>
  <c r="AB24"/>
  <c r="AB23"/>
  <c r="AB22"/>
  <c r="Z12"/>
  <c r="Z8"/>
  <c r="Z5"/>
  <c r="X24"/>
  <c r="Y24"/>
  <c r="Y23"/>
  <c r="Y22"/>
  <c r="L12"/>
  <c r="L11"/>
  <c r="L6"/>
  <c r="L5"/>
  <c r="I11"/>
  <c r="K24"/>
  <c r="K22"/>
  <c r="E24"/>
  <c r="E22"/>
  <c r="J24"/>
  <c r="D24"/>
  <c r="F12"/>
  <c r="F11"/>
  <c r="F6"/>
  <c r="AB22" i="1"/>
  <c r="Y23"/>
  <c r="Y22"/>
  <c r="AB24"/>
  <c r="AA24"/>
  <c r="Y24"/>
  <c r="X24"/>
  <c r="AC12"/>
  <c r="AC11"/>
  <c r="AC8"/>
  <c r="AC6"/>
  <c r="AC5"/>
  <c r="AC9" s="1"/>
  <c r="Z12"/>
  <c r="Z11"/>
  <c r="Z8"/>
  <c r="Z6"/>
  <c r="Z5"/>
  <c r="J24"/>
  <c r="K24"/>
  <c r="K23"/>
  <c r="K22"/>
  <c r="L12"/>
  <c r="L11"/>
  <c r="L8"/>
  <c r="L6"/>
  <c r="L5"/>
  <c r="H24"/>
  <c r="H23"/>
  <c r="H22"/>
  <c r="G24"/>
  <c r="I12"/>
  <c r="I11"/>
  <c r="I8"/>
  <c r="I6"/>
  <c r="I5"/>
  <c r="F12"/>
  <c r="F11"/>
  <c r="F8"/>
  <c r="F9" s="1"/>
  <c r="F6"/>
  <c r="F5"/>
  <c r="E23"/>
  <c r="E22"/>
  <c r="E24"/>
  <c r="D24"/>
  <c r="F20"/>
  <c r="F19"/>
  <c r="F18"/>
  <c r="J8" i="4"/>
  <c r="L8" s="1"/>
  <c r="Z9" i="1" l="1"/>
  <c r="Z19" i="4"/>
  <c r="Z6"/>
  <c r="Z9" s="1"/>
  <c r="Z11"/>
  <c r="Z18"/>
  <c r="Z20"/>
  <c r="AC19"/>
  <c r="AC20"/>
  <c r="AC11"/>
  <c r="AC6"/>
  <c r="AC5"/>
  <c r="AC8"/>
  <c r="AC12"/>
  <c r="AC18"/>
  <c r="I6" i="6"/>
  <c r="I8"/>
  <c r="I11"/>
  <c r="I5"/>
  <c r="AC7" i="4"/>
  <c r="Z7"/>
  <c r="L9"/>
  <c r="L7"/>
  <c r="AC7" i="1"/>
  <c r="Z7"/>
  <c r="L7"/>
  <c r="L9"/>
  <c r="I7"/>
  <c r="I9"/>
  <c r="F7"/>
  <c r="J8"/>
  <c r="AC9" i="4" l="1"/>
  <c r="I9" i="6"/>
  <c r="I7"/>
  <c r="D8" i="4"/>
  <c r="F8" s="1"/>
  <c r="D5"/>
  <c r="F5" s="1"/>
  <c r="D8" i="1"/>
  <c r="F9" i="4" l="1"/>
  <c r="F7"/>
  <c r="H20" i="6"/>
  <c r="H19"/>
  <c r="H18"/>
  <c r="G20"/>
  <c r="G19"/>
  <c r="G18"/>
  <c r="G12"/>
  <c r="G11"/>
  <c r="G8"/>
  <c r="G6"/>
  <c r="G5"/>
  <c r="E20"/>
  <c r="E19"/>
  <c r="E18"/>
  <c r="D20"/>
  <c r="D19"/>
  <c r="D18"/>
  <c r="D11"/>
  <c r="F11" s="1"/>
  <c r="D12"/>
  <c r="F12" s="1"/>
  <c r="D8"/>
  <c r="F8" s="1"/>
  <c r="D6"/>
  <c r="F6" s="1"/>
  <c r="D5"/>
  <c r="F5" s="1"/>
  <c r="K8" i="1"/>
  <c r="K6"/>
  <c r="K5"/>
  <c r="X11"/>
  <c r="G11" i="5" s="1"/>
  <c r="I11" s="1"/>
  <c r="J22" i="1"/>
  <c r="K21"/>
  <c r="J15"/>
  <c r="J14"/>
  <c r="J13"/>
  <c r="J9"/>
  <c r="K9" s="1"/>
  <c r="X11" i="4"/>
  <c r="D11" i="5" s="1"/>
  <c r="F11" s="1"/>
  <c r="J9" i="4"/>
  <c r="K9" s="1"/>
  <c r="J7"/>
  <c r="K7" s="1"/>
  <c r="K8"/>
  <c r="K5"/>
  <c r="K21"/>
  <c r="K23" s="1"/>
  <c r="J26"/>
  <c r="J22"/>
  <c r="J15"/>
  <c r="J14"/>
  <c r="J13"/>
  <c r="X6"/>
  <c r="Y20"/>
  <c r="E20" i="5" s="1"/>
  <c r="X20" i="4"/>
  <c r="D20" i="5" s="1"/>
  <c r="F20" s="1"/>
  <c r="Y19" i="4"/>
  <c r="E19" i="5" s="1"/>
  <c r="X19" i="4"/>
  <c r="Y18"/>
  <c r="AB18" s="1"/>
  <c r="X18"/>
  <c r="AA18" s="1"/>
  <c r="X12"/>
  <c r="D12" i="5" s="1"/>
  <c r="F12" s="1"/>
  <c r="X8" i="4"/>
  <c r="D8" i="5" s="1"/>
  <c r="F8" s="1"/>
  <c r="X5" i="4"/>
  <c r="Y20" i="1"/>
  <c r="H20" i="5" s="1"/>
  <c r="Y19" i="1"/>
  <c r="Y18"/>
  <c r="H18" i="5" s="1"/>
  <c r="X19" i="1"/>
  <c r="G19" i="5" s="1"/>
  <c r="I19" s="1"/>
  <c r="X18" i="1"/>
  <c r="AA18" s="1"/>
  <c r="X12"/>
  <c r="G12" i="5" s="1"/>
  <c r="I12" s="1"/>
  <c r="L12" s="1"/>
  <c r="X5" i="1"/>
  <c r="G5" i="5" s="1"/>
  <c r="I5" s="1"/>
  <c r="D13" i="4"/>
  <c r="D22"/>
  <c r="E21"/>
  <c r="E23" s="1"/>
  <c r="D21"/>
  <c r="D23" s="1"/>
  <c r="H20"/>
  <c r="G20"/>
  <c r="H19"/>
  <c r="G19"/>
  <c r="H18"/>
  <c r="G18"/>
  <c r="D15"/>
  <c r="D14"/>
  <c r="G12"/>
  <c r="I12" s="1"/>
  <c r="D9"/>
  <c r="G5"/>
  <c r="E5"/>
  <c r="H18" i="1"/>
  <c r="G18"/>
  <c r="X8"/>
  <c r="X6"/>
  <c r="H20"/>
  <c r="H19"/>
  <c r="G19"/>
  <c r="E21"/>
  <c r="D21"/>
  <c r="L11" i="5" l="1"/>
  <c r="D24" i="6"/>
  <c r="H24"/>
  <c r="E22"/>
  <c r="E24"/>
  <c r="G24"/>
  <c r="H22"/>
  <c r="F9"/>
  <c r="F7"/>
  <c r="H24" i="4"/>
  <c r="H22"/>
  <c r="G14"/>
  <c r="I5"/>
  <c r="G24"/>
  <c r="AA11" i="1"/>
  <c r="X14" i="4"/>
  <c r="D7" i="6"/>
  <c r="E7" s="1"/>
  <c r="AA11" i="4"/>
  <c r="E21" i="5"/>
  <c r="J26" i="1"/>
  <c r="J21"/>
  <c r="J23" s="1"/>
  <c r="J7"/>
  <c r="D15" i="5"/>
  <c r="J16" i="4"/>
  <c r="K6"/>
  <c r="E18" i="5"/>
  <c r="X22" i="4"/>
  <c r="D18" i="5"/>
  <c r="F18" s="1"/>
  <c r="D19"/>
  <c r="F19" s="1"/>
  <c r="L19" s="1"/>
  <c r="J21" i="4"/>
  <c r="J23" s="1"/>
  <c r="AA6"/>
  <c r="D6" i="5"/>
  <c r="F6" s="1"/>
  <c r="X9" i="4"/>
  <c r="AA9" s="1"/>
  <c r="X26"/>
  <c r="D5" i="5"/>
  <c r="D14" i="6"/>
  <c r="J18"/>
  <c r="J11" i="5"/>
  <c r="E6" i="6"/>
  <c r="D22"/>
  <c r="Y21" i="1"/>
  <c r="K11" i="5"/>
  <c r="AA6" i="1"/>
  <c r="Y6"/>
  <c r="G6" i="5"/>
  <c r="I6" s="1"/>
  <c r="L6" s="1"/>
  <c r="G14"/>
  <c r="AA8" i="1"/>
  <c r="X26"/>
  <c r="Y8"/>
  <c r="G8" i="5"/>
  <c r="I8" s="1"/>
  <c r="L8" s="1"/>
  <c r="K12"/>
  <c r="J12"/>
  <c r="K19"/>
  <c r="Y5" i="1"/>
  <c r="X13"/>
  <c r="X15"/>
  <c r="X20"/>
  <c r="X22"/>
  <c r="AA5"/>
  <c r="AA12"/>
  <c r="AA19"/>
  <c r="AA22" s="1"/>
  <c r="G18" i="5"/>
  <c r="H19"/>
  <c r="H21" s="1"/>
  <c r="X14" i="1"/>
  <c r="H21" i="6"/>
  <c r="H23" s="1"/>
  <c r="E21"/>
  <c r="E23" s="1"/>
  <c r="J19"/>
  <c r="J11"/>
  <c r="D26"/>
  <c r="E5"/>
  <c r="E8"/>
  <c r="K11"/>
  <c r="G22"/>
  <c r="D9"/>
  <c r="E9" s="1"/>
  <c r="D13"/>
  <c r="D15"/>
  <c r="D21"/>
  <c r="Y5" i="4"/>
  <c r="AA8"/>
  <c r="AA12"/>
  <c r="AB19"/>
  <c r="AB20"/>
  <c r="Y21"/>
  <c r="AA5"/>
  <c r="AA14" s="1"/>
  <c r="Y6"/>
  <c r="Y8"/>
  <c r="X13"/>
  <c r="X15"/>
  <c r="AA19"/>
  <c r="AA22" s="1"/>
  <c r="AA20"/>
  <c r="X21"/>
  <c r="X23" s="1"/>
  <c r="H5" i="5"/>
  <c r="E8"/>
  <c r="G13"/>
  <c r="G15"/>
  <c r="H21" i="4"/>
  <c r="H23" s="1"/>
  <c r="G21"/>
  <c r="G23" s="1"/>
  <c r="G22"/>
  <c r="D26"/>
  <c r="G9"/>
  <c r="H9" s="1"/>
  <c r="E9"/>
  <c r="D7"/>
  <c r="X7" s="1"/>
  <c r="H5"/>
  <c r="E6"/>
  <c r="E8"/>
  <c r="G6"/>
  <c r="G8"/>
  <c r="I8" s="1"/>
  <c r="G13"/>
  <c r="G15"/>
  <c r="H21" i="1"/>
  <c r="G22"/>
  <c r="D23"/>
  <c r="D22"/>
  <c r="G20"/>
  <c r="G21" i="6" s="1"/>
  <c r="G23" s="1"/>
  <c r="G12" i="1"/>
  <c r="J12" i="6" s="1"/>
  <c r="D15" i="1"/>
  <c r="D14"/>
  <c r="D13"/>
  <c r="G8"/>
  <c r="E8"/>
  <c r="G5"/>
  <c r="K5" i="6" s="1"/>
  <c r="E5" i="1"/>
  <c r="D26"/>
  <c r="D13" i="5" l="1"/>
  <c r="F5"/>
  <c r="I9"/>
  <c r="I18"/>
  <c r="L18" s="1"/>
  <c r="I7"/>
  <c r="H6" i="4"/>
  <c r="I6"/>
  <c r="I7" s="1"/>
  <c r="E6" i="5"/>
  <c r="Y9" i="4"/>
  <c r="D7" i="5"/>
  <c r="AA14" i="1"/>
  <c r="J5" i="5"/>
  <c r="K7" i="1"/>
  <c r="G7" i="6"/>
  <c r="AA7" i="4"/>
  <c r="AA16" s="1"/>
  <c r="X16"/>
  <c r="Y7"/>
  <c r="K5" i="5"/>
  <c r="J22"/>
  <c r="J19"/>
  <c r="J16" i="1"/>
  <c r="K6" i="5"/>
  <c r="D21"/>
  <c r="D9"/>
  <c r="E9" s="1"/>
  <c r="D26"/>
  <c r="D14"/>
  <c r="K14" s="1"/>
  <c r="E5"/>
  <c r="AB21" i="1"/>
  <c r="AB23" s="1"/>
  <c r="G7" i="5"/>
  <c r="K18"/>
  <c r="J18"/>
  <c r="AA20" i="1"/>
  <c r="AA21" s="1"/>
  <c r="AA23" s="1"/>
  <c r="X21"/>
  <c r="X23" s="1"/>
  <c r="G20" i="5"/>
  <c r="I20" s="1"/>
  <c r="L20" s="1"/>
  <c r="K8"/>
  <c r="J8"/>
  <c r="J8" i="6"/>
  <c r="K15" i="5"/>
  <c r="J15"/>
  <c r="K13"/>
  <c r="J13"/>
  <c r="M21"/>
  <c r="L21"/>
  <c r="AA15" i="1"/>
  <c r="AA13"/>
  <c r="J21" i="6"/>
  <c r="G14"/>
  <c r="J14" s="1"/>
  <c r="K12"/>
  <c r="K8"/>
  <c r="H5"/>
  <c r="J20"/>
  <c r="J5"/>
  <c r="G15"/>
  <c r="J15" s="1"/>
  <c r="G13"/>
  <c r="K13" s="1"/>
  <c r="H8"/>
  <c r="AA26" i="1"/>
  <c r="G9" i="5"/>
  <c r="J22" i="6"/>
  <c r="K22"/>
  <c r="D23"/>
  <c r="K23" s="1"/>
  <c r="K21"/>
  <c r="D16"/>
  <c r="H6" i="5"/>
  <c r="J6"/>
  <c r="AA21" i="4"/>
  <c r="AA23" s="1"/>
  <c r="AB21"/>
  <c r="AA15"/>
  <c r="AA13"/>
  <c r="AA26"/>
  <c r="D16" i="5"/>
  <c r="G26"/>
  <c r="H8"/>
  <c r="G26" i="4"/>
  <c r="H8"/>
  <c r="G7"/>
  <c r="D16"/>
  <c r="E7"/>
  <c r="G21" i="1"/>
  <c r="G23" s="1"/>
  <c r="H8"/>
  <c r="D9"/>
  <c r="X9" s="1"/>
  <c r="G13"/>
  <c r="G15"/>
  <c r="D7"/>
  <c r="X7" s="1"/>
  <c r="E6"/>
  <c r="G6"/>
  <c r="G14"/>
  <c r="H5"/>
  <c r="F7" i="5" l="1"/>
  <c r="F9"/>
  <c r="L9" s="1"/>
  <c r="L5"/>
  <c r="L7"/>
  <c r="I9" i="4"/>
  <c r="K7" i="5"/>
  <c r="K22"/>
  <c r="E7"/>
  <c r="J7"/>
  <c r="K14" i="6"/>
  <c r="K15"/>
  <c r="J13"/>
  <c r="J23"/>
  <c r="J14" i="5"/>
  <c r="G26" i="1"/>
  <c r="AA7"/>
  <c r="AA16" s="1"/>
  <c r="Y7"/>
  <c r="X16"/>
  <c r="K20" i="5"/>
  <c r="G21"/>
  <c r="J20"/>
  <c r="AA9" i="1"/>
  <c r="Y9"/>
  <c r="K26" i="5"/>
  <c r="J26"/>
  <c r="K9"/>
  <c r="J9"/>
  <c r="H9"/>
  <c r="H7"/>
  <c r="G16"/>
  <c r="H7" i="4"/>
  <c r="G16"/>
  <c r="G9" i="1"/>
  <c r="H9" s="1"/>
  <c r="E9"/>
  <c r="E7"/>
  <c r="D16"/>
  <c r="H6"/>
  <c r="G7"/>
  <c r="K23" i="5" l="1"/>
  <c r="J23"/>
  <c r="K21"/>
  <c r="J21"/>
  <c r="G16" i="6"/>
  <c r="K7"/>
  <c r="J7"/>
  <c r="H7"/>
  <c r="K16" i="5"/>
  <c r="J16"/>
  <c r="J6" i="6"/>
  <c r="K6"/>
  <c r="H6"/>
  <c r="G9"/>
  <c r="G26"/>
  <c r="H7" i="1"/>
  <c r="G16"/>
  <c r="K16" i="6" l="1"/>
  <c r="J16"/>
  <c r="J26"/>
  <c r="K26"/>
  <c r="H9"/>
  <c r="J9"/>
  <c r="K9"/>
</calcChain>
</file>

<file path=xl/sharedStrings.xml><?xml version="1.0" encoding="utf-8"?>
<sst xmlns="http://schemas.openxmlformats.org/spreadsheetml/2006/main" count="238" uniqueCount="52">
  <si>
    <t>FNOL</t>
  </si>
  <si>
    <t>tis. Kč</t>
  </si>
  <si>
    <t>skutečnost</t>
  </si>
  <si>
    <t xml:space="preserve"> 1 - 8 2014</t>
  </si>
  <si>
    <t>Tržby</t>
  </si>
  <si>
    <t>Variabilní náklady</t>
  </si>
  <si>
    <t>Fixní náklady</t>
  </si>
  <si>
    <t xml:space="preserve"> září 2014</t>
  </si>
  <si>
    <t>Přidaná hodnota</t>
  </si>
  <si>
    <t xml:space="preserve"> říjen 2014</t>
  </si>
  <si>
    <t xml:space="preserve"> listopad 2014</t>
  </si>
  <si>
    <t xml:space="preserve"> prosinec 2014</t>
  </si>
  <si>
    <t>% z</t>
  </si>
  <si>
    <t>CELKEM</t>
  </si>
  <si>
    <t>tržeb</t>
  </si>
  <si>
    <t>průměr</t>
  </si>
  <si>
    <t>Výsledek</t>
  </si>
  <si>
    <t>Osobní náklady</t>
  </si>
  <si>
    <t>Produktivita práce</t>
  </si>
  <si>
    <t>PHM litr</t>
  </si>
  <si>
    <t>Zaměstnanci</t>
  </si>
  <si>
    <t>PHM Kč/litr</t>
  </si>
  <si>
    <t>Mzdová nákladovost tržeb</t>
  </si>
  <si>
    <t>Mzdová nákladovost PH</t>
  </si>
  <si>
    <t>PHM litr/km</t>
  </si>
  <si>
    <t>ujeté Kilometry</t>
  </si>
  <si>
    <t>% z T</t>
  </si>
  <si>
    <t>vykázáno</t>
  </si>
  <si>
    <t>účetnictví</t>
  </si>
  <si>
    <t>dopravou</t>
  </si>
  <si>
    <t>PHM v tis. Kč</t>
  </si>
  <si>
    <t>spotřeba PHM na 100 km</t>
  </si>
  <si>
    <t xml:space="preserve"> 1 - 8 2013</t>
  </si>
  <si>
    <t xml:space="preserve"> září 2013</t>
  </si>
  <si>
    <t xml:space="preserve"> říjen 2013</t>
  </si>
  <si>
    <t xml:space="preserve"> listopad 2013</t>
  </si>
  <si>
    <t xml:space="preserve"> prosinec 2013</t>
  </si>
  <si>
    <t>index</t>
  </si>
  <si>
    <t>hodnota</t>
  </si>
  <si>
    <t>2014/2013</t>
  </si>
  <si>
    <t>2014 - 2013</t>
  </si>
  <si>
    <t>počet měsíců</t>
  </si>
  <si>
    <t xml:space="preserve"> 1 - 9 2013</t>
  </si>
  <si>
    <t xml:space="preserve"> 1 - 9 2014</t>
  </si>
  <si>
    <t>PHM v litrech</t>
  </si>
  <si>
    <t>Průměrné ON na osobu</t>
  </si>
  <si>
    <t>doprava sanitní externí</t>
  </si>
  <si>
    <t>BOD ZLOMU 9405</t>
  </si>
  <si>
    <t>počet</t>
  </si>
  <si>
    <t>sanitek</t>
  </si>
  <si>
    <t>PHM Kč/km</t>
  </si>
  <si>
    <t>SANITKY</t>
  </si>
</sst>
</file>

<file path=xl/styles.xml><?xml version="1.0" encoding="utf-8"?>
<styleSheet xmlns="http://schemas.openxmlformats.org/spreadsheetml/2006/main">
  <numFmts count="4">
    <numFmt numFmtId="164" formatCode="0.0%"/>
    <numFmt numFmtId="165" formatCode="#,##0;[Red]#,##0"/>
    <numFmt numFmtId="166" formatCode="#,##0.00\ &quot;Kč&quot;"/>
    <numFmt numFmtId="167" formatCode="#,##0.00;[Red]#,##0.00"/>
  </numFmts>
  <fonts count="33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name val="Arial"/>
      <family val="2"/>
    </font>
    <font>
      <sz val="10"/>
      <name val="Arial"/>
      <family val="2"/>
      <charset val="238"/>
    </font>
    <font>
      <b/>
      <sz val="10"/>
      <color indexed="48"/>
      <name val="Arial"/>
      <family val="2"/>
      <charset val="238"/>
    </font>
    <font>
      <sz val="9"/>
      <color indexed="8"/>
      <name val="Arial"/>
      <family val="2"/>
    </font>
    <font>
      <sz val="9"/>
      <name val="Arial"/>
      <family val="2"/>
    </font>
    <font>
      <i/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i/>
      <sz val="10"/>
      <color theme="1"/>
      <name val="Arial"/>
      <family val="2"/>
      <charset val="238"/>
    </font>
    <font>
      <sz val="11"/>
      <color rgb="FF0033CC"/>
      <name val="Calibri"/>
      <family val="2"/>
      <charset val="238"/>
      <scheme val="minor"/>
    </font>
    <font>
      <b/>
      <sz val="11"/>
      <color rgb="FF0033CC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color indexed="48"/>
      <name val="Arial"/>
      <family val="2"/>
    </font>
    <font>
      <sz val="11"/>
      <color theme="1"/>
      <name val="Arial"/>
      <family val="2"/>
      <charset val="238"/>
    </font>
    <font>
      <sz val="11"/>
      <color rgb="FF0033CC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color indexed="8"/>
      <name val="Arial"/>
      <family val="2"/>
    </font>
    <font>
      <sz val="10"/>
      <name val="Arial"/>
      <family val="2"/>
    </font>
    <font>
      <b/>
      <sz val="9"/>
      <color theme="1"/>
      <name val="Arial"/>
      <family val="2"/>
      <charset val="238"/>
    </font>
    <font>
      <i/>
      <sz val="9"/>
      <color theme="1"/>
      <name val="Arial"/>
      <family val="2"/>
      <charset val="238"/>
    </font>
    <font>
      <b/>
      <i/>
      <sz val="9"/>
      <color theme="1"/>
      <name val="Arial"/>
      <family val="2"/>
      <charset val="238"/>
    </font>
    <font>
      <i/>
      <sz val="9"/>
      <name val="Arial"/>
      <family val="2"/>
      <charset val="238"/>
    </font>
    <font>
      <b/>
      <sz val="9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b/>
      <sz val="9"/>
      <color rgb="FF0033CC"/>
      <name val="Arial"/>
      <family val="2"/>
      <charset val="238"/>
    </font>
    <font>
      <b/>
      <sz val="9"/>
      <color indexed="8"/>
      <name val="Arial"/>
      <family val="2"/>
      <charset val="238"/>
    </font>
    <font>
      <i/>
      <sz val="9"/>
      <color indexed="8"/>
      <name val="Arial"/>
      <family val="2"/>
      <charset val="238"/>
    </font>
    <font>
      <b/>
      <i/>
      <sz val="9"/>
      <color indexed="8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double">
        <color auto="1"/>
      </left>
      <right/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15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4" fontId="4" fillId="0" borderId="0" xfId="0" applyNumberFormat="1" applyFont="1" applyFill="1" applyAlignment="1">
      <alignment horizontal="center"/>
    </xf>
    <xf numFmtId="0" fontId="5" fillId="0" borderId="0" xfId="0" applyFont="1" applyAlignment="1">
      <alignment horizontal="center"/>
    </xf>
    <xf numFmtId="10" fontId="6" fillId="0" borderId="0" xfId="1" applyNumberFormat="1" applyFont="1" applyAlignment="1">
      <alignment horizontal="center"/>
    </xf>
    <xf numFmtId="0" fontId="7" fillId="0" borderId="0" xfId="0" applyFont="1"/>
    <xf numFmtId="3" fontId="9" fillId="0" borderId="0" xfId="0" applyNumberFormat="1" applyFont="1" applyAlignment="1"/>
    <xf numFmtId="3" fontId="10" fillId="0" borderId="0" xfId="0" applyNumberFormat="1" applyFont="1" applyAlignment="1"/>
    <xf numFmtId="0" fontId="11" fillId="0" borderId="0" xfId="0" applyFont="1"/>
    <xf numFmtId="3" fontId="12" fillId="0" borderId="0" xfId="0" applyNumberFormat="1" applyFont="1" applyAlignment="1"/>
    <xf numFmtId="3" fontId="0" fillId="0" borderId="0" xfId="0" applyNumberFormat="1"/>
    <xf numFmtId="3" fontId="9" fillId="0" borderId="0" xfId="0" applyNumberFormat="1" applyFont="1"/>
    <xf numFmtId="3" fontId="12" fillId="0" borderId="0" xfId="0" applyNumberFormat="1" applyFont="1"/>
    <xf numFmtId="165" fontId="9" fillId="0" borderId="0" xfId="0" applyNumberFormat="1" applyFont="1" applyAlignment="1"/>
    <xf numFmtId="165" fontId="9" fillId="0" borderId="0" xfId="0" applyNumberFormat="1" applyFont="1"/>
    <xf numFmtId="0" fontId="8" fillId="0" borderId="0" xfId="0" applyFont="1"/>
    <xf numFmtId="0" fontId="12" fillId="0" borderId="0" xfId="0" applyFont="1"/>
    <xf numFmtId="0" fontId="9" fillId="0" borderId="0" xfId="0" applyFont="1"/>
    <xf numFmtId="0" fontId="13" fillId="0" borderId="0" xfId="0" applyFont="1"/>
    <xf numFmtId="0" fontId="14" fillId="0" borderId="0" xfId="0" applyFont="1"/>
    <xf numFmtId="3" fontId="14" fillId="0" borderId="0" xfId="0" applyNumberFormat="1" applyFont="1"/>
    <xf numFmtId="0" fontId="15" fillId="0" borderId="0" xfId="0" applyFont="1" applyAlignment="1">
      <alignment horizontal="center"/>
    </xf>
    <xf numFmtId="10" fontId="3" fillId="0" borderId="0" xfId="1" applyNumberFormat="1" applyFont="1" applyAlignment="1">
      <alignment horizontal="center"/>
    </xf>
    <xf numFmtId="14" fontId="16" fillId="0" borderId="0" xfId="0" applyNumberFormat="1" applyFont="1" applyFill="1" applyBorder="1" applyAlignment="1">
      <alignment horizontal="center"/>
    </xf>
    <xf numFmtId="0" fontId="0" fillId="0" borderId="1" xfId="0" applyBorder="1"/>
    <xf numFmtId="0" fontId="0" fillId="0" borderId="1" xfId="0" applyFont="1" applyBorder="1" applyAlignment="1">
      <alignment horizontal="center"/>
    </xf>
    <xf numFmtId="14" fontId="16" fillId="0" borderId="1" xfId="0" applyNumberFormat="1" applyFont="1" applyFill="1" applyBorder="1" applyAlignment="1">
      <alignment horizontal="center"/>
    </xf>
    <xf numFmtId="3" fontId="8" fillId="0" borderId="0" xfId="0" applyNumberFormat="1" applyFont="1"/>
    <xf numFmtId="165" fontId="8" fillId="0" borderId="0" xfId="0" applyNumberFormat="1" applyFont="1"/>
    <xf numFmtId="3" fontId="11" fillId="0" borderId="0" xfId="0" applyNumberFormat="1" applyFont="1"/>
    <xf numFmtId="3" fontId="14" fillId="0" borderId="0" xfId="0" applyNumberFormat="1" applyFont="1" applyBorder="1"/>
    <xf numFmtId="3" fontId="8" fillId="0" borderId="0" xfId="0" applyNumberFormat="1" applyFont="1" applyAlignment="1"/>
    <xf numFmtId="164" fontId="9" fillId="0" borderId="0" xfId="0" applyNumberFormat="1" applyFont="1" applyAlignment="1"/>
    <xf numFmtId="0" fontId="3" fillId="0" borderId="0" xfId="0" applyFont="1" applyBorder="1" applyAlignment="1">
      <alignment horizontal="center"/>
    </xf>
    <xf numFmtId="164" fontId="9" fillId="0" borderId="0" xfId="0" applyNumberFormat="1" applyFont="1" applyBorder="1" applyAlignment="1"/>
    <xf numFmtId="3" fontId="9" fillId="0" borderId="0" xfId="0" applyNumberFormat="1" applyFont="1" applyBorder="1" applyAlignment="1"/>
    <xf numFmtId="164" fontId="14" fillId="0" borderId="1" xfId="0" applyNumberFormat="1" applyFont="1" applyBorder="1"/>
    <xf numFmtId="0" fontId="17" fillId="0" borderId="0" xfId="0" applyFont="1"/>
    <xf numFmtId="3" fontId="17" fillId="0" borderId="0" xfId="0" applyNumberFormat="1" applyFont="1"/>
    <xf numFmtId="0" fontId="18" fillId="0" borderId="0" xfId="0" applyFont="1"/>
    <xf numFmtId="0" fontId="8" fillId="0" borderId="0" xfId="0" applyFont="1" applyBorder="1"/>
    <xf numFmtId="0" fontId="10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166" fontId="9" fillId="0" borderId="0" xfId="0" applyNumberFormat="1" applyFont="1" applyAlignment="1"/>
    <xf numFmtId="166" fontId="9" fillId="0" borderId="0" xfId="0" applyNumberFormat="1" applyFont="1" applyBorder="1" applyAlignment="1"/>
    <xf numFmtId="4" fontId="9" fillId="0" borderId="0" xfId="0" applyNumberFormat="1" applyFont="1"/>
    <xf numFmtId="2" fontId="9" fillId="0" borderId="0" xfId="0" applyNumberFormat="1" applyFont="1" applyBorder="1"/>
    <xf numFmtId="4" fontId="11" fillId="0" borderId="0" xfId="0" applyNumberFormat="1" applyFont="1"/>
    <xf numFmtId="4" fontId="11" fillId="0" borderId="0" xfId="0" applyNumberFormat="1" applyFont="1" applyBorder="1"/>
    <xf numFmtId="0" fontId="20" fillId="0" borderId="0" xfId="0" applyFont="1"/>
    <xf numFmtId="0" fontId="20" fillId="0" borderId="0" xfId="0" applyFont="1" applyBorder="1"/>
    <xf numFmtId="0" fontId="21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10" fontId="22" fillId="0" borderId="0" xfId="1" applyNumberFormat="1" applyFont="1" applyAlignment="1">
      <alignment horizontal="center"/>
    </xf>
    <xf numFmtId="2" fontId="9" fillId="0" borderId="0" xfId="0" applyNumberFormat="1" applyFont="1"/>
    <xf numFmtId="164" fontId="23" fillId="0" borderId="0" xfId="0" applyNumberFormat="1" applyFont="1"/>
    <xf numFmtId="164" fontId="24" fillId="0" borderId="0" xfId="0" applyNumberFormat="1" applyFont="1"/>
    <xf numFmtId="164" fontId="25" fillId="0" borderId="0" xfId="0" applyNumberFormat="1" applyFont="1"/>
    <xf numFmtId="0" fontId="15" fillId="0" borderId="0" xfId="0" applyFont="1"/>
    <xf numFmtId="3" fontId="24" fillId="0" borderId="0" xfId="0" applyNumberFormat="1" applyFont="1" applyAlignment="1"/>
    <xf numFmtId="3" fontId="26" fillId="0" borderId="0" xfId="0" applyNumberFormat="1" applyFont="1"/>
    <xf numFmtId="166" fontId="27" fillId="0" borderId="0" xfId="0" applyNumberFormat="1" applyFont="1" applyAlignment="1"/>
    <xf numFmtId="4" fontId="23" fillId="0" borderId="0" xfId="0" applyNumberFormat="1" applyFont="1"/>
    <xf numFmtId="4" fontId="27" fillId="0" borderId="0" xfId="0" applyNumberFormat="1" applyFont="1"/>
    <xf numFmtId="0" fontId="28" fillId="0" borderId="0" xfId="0" applyFont="1"/>
    <xf numFmtId="164" fontId="23" fillId="0" borderId="0" xfId="0" applyNumberFormat="1" applyFont="1" applyBorder="1"/>
    <xf numFmtId="164" fontId="24" fillId="0" borderId="0" xfId="0" applyNumberFormat="1" applyFont="1" applyBorder="1"/>
    <xf numFmtId="164" fontId="15" fillId="0" borderId="0" xfId="0" applyNumberFormat="1" applyFont="1"/>
    <xf numFmtId="3" fontId="24" fillId="0" borderId="0" xfId="0" applyNumberFormat="1" applyFont="1"/>
    <xf numFmtId="166" fontId="23" fillId="0" borderId="0" xfId="0" applyNumberFormat="1" applyFont="1" applyBorder="1" applyAlignment="1"/>
    <xf numFmtId="4" fontId="27" fillId="0" borderId="0" xfId="0" applyNumberFormat="1" applyFont="1" applyBorder="1"/>
    <xf numFmtId="3" fontId="29" fillId="0" borderId="0" xfId="0" applyNumberFormat="1" applyFont="1" applyBorder="1"/>
    <xf numFmtId="0" fontId="20" fillId="0" borderId="2" xfId="0" applyFont="1" applyBorder="1"/>
    <xf numFmtId="0" fontId="3" fillId="0" borderId="2" xfId="0" applyFont="1" applyBorder="1" applyAlignment="1">
      <alignment horizontal="center"/>
    </xf>
    <xf numFmtId="0" fontId="21" fillId="0" borderId="0" xfId="0" applyFont="1" applyBorder="1" applyAlignment="1">
      <alignment horizontal="center"/>
    </xf>
    <xf numFmtId="14" fontId="4" fillId="0" borderId="2" xfId="0" applyNumberFormat="1" applyFont="1" applyFill="1" applyBorder="1" applyAlignment="1">
      <alignment horizontal="center"/>
    </xf>
    <xf numFmtId="10" fontId="22" fillId="0" borderId="0" xfId="1" applyNumberFormat="1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3" fontId="9" fillId="0" borderId="2" xfId="0" applyNumberFormat="1" applyFont="1" applyBorder="1"/>
    <xf numFmtId="3" fontId="12" fillId="0" borderId="2" xfId="0" applyNumberFormat="1" applyFont="1" applyBorder="1"/>
    <xf numFmtId="165" fontId="9" fillId="0" borderId="2" xfId="0" applyNumberFormat="1" applyFont="1" applyBorder="1"/>
    <xf numFmtId="3" fontId="8" fillId="0" borderId="2" xfId="0" applyNumberFormat="1" applyFont="1" applyBorder="1"/>
    <xf numFmtId="0" fontId="15" fillId="0" borderId="0" xfId="0" applyFont="1" applyBorder="1"/>
    <xf numFmtId="164" fontId="9" fillId="0" borderId="2" xfId="0" applyNumberFormat="1" applyFont="1" applyBorder="1" applyAlignment="1"/>
    <xf numFmtId="3" fontId="9" fillId="0" borderId="2" xfId="0" applyNumberFormat="1" applyFont="1" applyBorder="1" applyAlignment="1"/>
    <xf numFmtId="3" fontId="24" fillId="0" borderId="0" xfId="0" applyNumberFormat="1" applyFont="1" applyBorder="1"/>
    <xf numFmtId="166" fontId="9" fillId="0" borderId="2" xfId="0" applyNumberFormat="1" applyFont="1" applyBorder="1" applyAlignment="1"/>
    <xf numFmtId="2" fontId="9" fillId="0" borderId="2" xfId="0" applyNumberFormat="1" applyFont="1" applyBorder="1"/>
    <xf numFmtId="4" fontId="11" fillId="0" borderId="2" xfId="0" applyNumberFormat="1" applyFont="1" applyBorder="1"/>
    <xf numFmtId="3" fontId="0" fillId="0" borderId="2" xfId="0" applyNumberFormat="1" applyBorder="1"/>
    <xf numFmtId="0" fontId="28" fillId="0" borderId="0" xfId="0" applyFont="1" applyBorder="1"/>
    <xf numFmtId="3" fontId="14" fillId="0" borderId="2" xfId="0" applyNumberFormat="1" applyFont="1" applyBorder="1"/>
    <xf numFmtId="0" fontId="8" fillId="0" borderId="2" xfId="0" applyFont="1" applyBorder="1"/>
    <xf numFmtId="0" fontId="19" fillId="0" borderId="0" xfId="0" applyFont="1" applyBorder="1" applyAlignment="1">
      <alignment horizontal="center"/>
    </xf>
    <xf numFmtId="10" fontId="3" fillId="0" borderId="0" xfId="1" applyNumberFormat="1" applyFont="1" applyBorder="1" applyAlignment="1">
      <alignment horizontal="center"/>
    </xf>
    <xf numFmtId="166" fontId="23" fillId="0" borderId="0" xfId="0" applyNumberFormat="1" applyFont="1" applyAlignment="1"/>
    <xf numFmtId="164" fontId="30" fillId="0" borderId="1" xfId="1" applyNumberFormat="1" applyFont="1" applyBorder="1"/>
    <xf numFmtId="165" fontId="23" fillId="0" borderId="0" xfId="0" applyNumberFormat="1" applyFont="1"/>
    <xf numFmtId="164" fontId="31" fillId="0" borderId="1" xfId="1" applyNumberFormat="1" applyFont="1" applyBorder="1"/>
    <xf numFmtId="165" fontId="24" fillId="0" borderId="0" xfId="0" applyNumberFormat="1" applyFont="1"/>
    <xf numFmtId="164" fontId="32" fillId="0" borderId="1" xfId="1" applyNumberFormat="1" applyFont="1" applyBorder="1"/>
    <xf numFmtId="0" fontId="15" fillId="0" borderId="1" xfId="0" applyFont="1" applyBorder="1"/>
    <xf numFmtId="164" fontId="30" fillId="0" borderId="0" xfId="1" applyNumberFormat="1" applyFont="1" applyBorder="1"/>
    <xf numFmtId="167" fontId="23" fillId="0" borderId="0" xfId="0" applyNumberFormat="1" applyFont="1"/>
    <xf numFmtId="3" fontId="8" fillId="0" borderId="2" xfId="0" applyNumberFormat="1" applyFont="1" applyBorder="1" applyAlignment="1"/>
    <xf numFmtId="3" fontId="23" fillId="0" borderId="0" xfId="0" applyNumberFormat="1" applyFont="1"/>
    <xf numFmtId="3" fontId="15" fillId="0" borderId="0" xfId="0" applyNumberFormat="1" applyFont="1"/>
    <xf numFmtId="3" fontId="23" fillId="0" borderId="0" xfId="0" applyNumberFormat="1" applyFont="1" applyAlignment="1"/>
    <xf numFmtId="4" fontId="27" fillId="0" borderId="3" xfId="0" applyNumberFormat="1" applyFont="1" applyBorder="1"/>
    <xf numFmtId="0" fontId="0" fillId="0" borderId="0" xfId="0" applyBorder="1" applyAlignment="1">
      <alignment horizontal="center"/>
    </xf>
    <xf numFmtId="0" fontId="24" fillId="0" borderId="0" xfId="0" applyFont="1"/>
  </cellXfs>
  <cellStyles count="2">
    <cellStyle name="normální" xfId="0" builtinId="0"/>
    <cellStyle name="procent" xfId="1" builtinId="5"/>
  </cellStyles>
  <dxfs count="0"/>
  <tableStyles count="0" defaultTableStyle="TableStyleMedium9" defaultPivotStyle="PivotStyleLight16"/>
  <colors>
    <mruColors>
      <color rgb="FF0033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U78"/>
  <sheetViews>
    <sheetView tabSelected="1" workbookViewId="0">
      <pane xSplit="3" ySplit="4" topLeftCell="D5" activePane="bottomRight" state="frozen"/>
      <selection pane="topRight" activeCell="C1" sqref="C1"/>
      <selection pane="bottomLeft" activeCell="A5" sqref="A5"/>
      <selection pane="bottomRight" activeCell="D16" sqref="D16"/>
    </sheetView>
  </sheetViews>
  <sheetFormatPr defaultRowHeight="15"/>
  <cols>
    <col min="1" max="1" width="1.7109375" customWidth="1"/>
    <col min="2" max="2" width="25.5703125" customWidth="1"/>
    <col min="3" max="3" width="1.7109375" customWidth="1"/>
    <col min="4" max="4" width="13.7109375" customWidth="1"/>
    <col min="5" max="6" width="8.7109375" customWidth="1"/>
    <col min="7" max="7" width="13.7109375" customWidth="1"/>
    <col min="8" max="9" width="8.7109375" customWidth="1"/>
    <col min="10" max="12" width="11.7109375" customWidth="1"/>
    <col min="13" max="13" width="8.7109375" customWidth="1"/>
    <col min="14" max="14" width="13.7109375" customWidth="1"/>
    <col min="15" max="15" width="8.7109375" customWidth="1"/>
    <col min="16" max="16" width="13.7109375" customWidth="1"/>
    <col min="17" max="18" width="2.7109375" customWidth="1"/>
    <col min="19" max="19" width="13.7109375" customWidth="1"/>
    <col min="20" max="20" width="8.7109375" customWidth="1"/>
    <col min="21" max="22" width="13.7109375" customWidth="1"/>
    <col min="23" max="23" width="9.28515625" customWidth="1"/>
    <col min="24" max="25" width="2.7109375" customWidth="1"/>
    <col min="26" max="26" width="13.7109375" customWidth="1"/>
    <col min="28" max="28" width="13.7109375" customWidth="1"/>
  </cols>
  <sheetData>
    <row r="1" spans="2:21" ht="15.75">
      <c r="B1" s="2" t="s">
        <v>0</v>
      </c>
      <c r="J1" s="26"/>
    </row>
    <row r="2" spans="2:21">
      <c r="B2" s="43" t="s">
        <v>46</v>
      </c>
      <c r="D2" s="3" t="s">
        <v>2</v>
      </c>
      <c r="E2" s="5" t="s">
        <v>26</v>
      </c>
      <c r="F2" s="55" t="s">
        <v>48</v>
      </c>
      <c r="G2" s="3" t="s">
        <v>2</v>
      </c>
      <c r="H2" s="5" t="s">
        <v>26</v>
      </c>
      <c r="I2" s="55" t="s">
        <v>48</v>
      </c>
      <c r="J2" s="27" t="s">
        <v>37</v>
      </c>
      <c r="K2" s="1" t="s">
        <v>38</v>
      </c>
      <c r="L2" s="113" t="s">
        <v>51</v>
      </c>
      <c r="M2" s="5"/>
      <c r="N2" s="3"/>
      <c r="O2" s="5"/>
      <c r="P2" s="3"/>
      <c r="S2" s="3"/>
      <c r="T2" s="5"/>
      <c r="U2" s="1"/>
    </row>
    <row r="3" spans="2:21">
      <c r="B3" s="45" t="s">
        <v>1</v>
      </c>
      <c r="D3" s="4" t="s">
        <v>42</v>
      </c>
      <c r="E3" s="24" t="s">
        <v>27</v>
      </c>
      <c r="F3" s="3" t="s">
        <v>49</v>
      </c>
      <c r="G3" s="4" t="s">
        <v>43</v>
      </c>
      <c r="H3" s="6" t="s">
        <v>27</v>
      </c>
      <c r="I3" s="3" t="s">
        <v>49</v>
      </c>
      <c r="J3" s="28" t="s">
        <v>39</v>
      </c>
      <c r="K3" s="25" t="s">
        <v>40</v>
      </c>
      <c r="L3" s="25" t="s">
        <v>40</v>
      </c>
      <c r="M3" s="6"/>
      <c r="N3" s="4"/>
      <c r="O3" s="6"/>
      <c r="P3" s="4"/>
      <c r="S3" s="4"/>
      <c r="T3" s="6"/>
    </row>
    <row r="4" spans="2:21">
      <c r="B4" s="46">
        <v>9405</v>
      </c>
      <c r="D4" s="23" t="s">
        <v>28</v>
      </c>
      <c r="E4" s="3" t="s">
        <v>29</v>
      </c>
      <c r="F4" s="3">
        <f>+'2013'!Z4</f>
        <v>3</v>
      </c>
      <c r="G4" s="23" t="s">
        <v>28</v>
      </c>
      <c r="H4" s="3" t="s">
        <v>29</v>
      </c>
      <c r="I4" s="3">
        <f>+'2014'!Z4</f>
        <v>3</v>
      </c>
      <c r="J4" s="26"/>
    </row>
    <row r="5" spans="2:21">
      <c r="B5" s="10" t="s">
        <v>4</v>
      </c>
      <c r="C5" s="17"/>
      <c r="D5" s="8">
        <f>+'2013'!X5</f>
        <v>7384.7210000000005</v>
      </c>
      <c r="E5" s="59">
        <f>+D5/$D$5</f>
        <v>1</v>
      </c>
      <c r="F5" s="109">
        <f>+D5/F4</f>
        <v>2461.5736666666667</v>
      </c>
      <c r="G5" s="13">
        <f>+'2014'!X5</f>
        <v>6695.192</v>
      </c>
      <c r="H5" s="59">
        <f>+G5/$G$5</f>
        <v>1</v>
      </c>
      <c r="I5" s="109">
        <f>+G5/I4</f>
        <v>2231.7306666666668</v>
      </c>
      <c r="J5" s="100">
        <f t="shared" ref="J5:J24" si="0">+G5/D5</f>
        <v>0.90662761666960734</v>
      </c>
      <c r="K5" s="101">
        <f>+G5-D5</f>
        <v>-689.52900000000045</v>
      </c>
      <c r="L5" s="101">
        <f>+I5-F5</f>
        <v>-229.84299999999985</v>
      </c>
      <c r="M5" s="62"/>
    </row>
    <row r="6" spans="2:21">
      <c r="B6" s="7" t="s">
        <v>5</v>
      </c>
      <c r="C6" s="17"/>
      <c r="D6" s="11">
        <f>+'2013'!X6</f>
        <v>2298.4160000000002</v>
      </c>
      <c r="E6" s="60">
        <f>+D6/$D$5</f>
        <v>0.31123938196175588</v>
      </c>
      <c r="F6" s="72">
        <f>+D6/F4</f>
        <v>766.13866666666672</v>
      </c>
      <c r="G6" s="14">
        <f>+'2014'!X6</f>
        <v>2582.047</v>
      </c>
      <c r="H6" s="60">
        <f>+G6/$G$5</f>
        <v>0.38565690125092755</v>
      </c>
      <c r="I6" s="72">
        <f>+G6/I4</f>
        <v>860.6823333333333</v>
      </c>
      <c r="J6" s="102">
        <f t="shared" si="0"/>
        <v>1.1234028130677822</v>
      </c>
      <c r="K6" s="103">
        <f>+G6-D6</f>
        <v>283.63099999999986</v>
      </c>
      <c r="L6" s="103">
        <f>+I6-F6</f>
        <v>94.543666666666581</v>
      </c>
      <c r="M6" s="62"/>
    </row>
    <row r="7" spans="2:21">
      <c r="B7" s="10" t="s">
        <v>8</v>
      </c>
      <c r="C7" s="17"/>
      <c r="D7" s="8">
        <f>+D5-D6</f>
        <v>5086.3050000000003</v>
      </c>
      <c r="E7" s="61">
        <f>+D7/$D$5</f>
        <v>0.68876061803824407</v>
      </c>
      <c r="F7" s="111">
        <f>+F5-F6</f>
        <v>1695.4349999999999</v>
      </c>
      <c r="G7" s="8">
        <f>+G5-G6</f>
        <v>4113.1450000000004</v>
      </c>
      <c r="H7" s="61">
        <f>+G7/$G$5</f>
        <v>0.61434309874907256</v>
      </c>
      <c r="I7" s="111">
        <f>+I5-I6</f>
        <v>1371.0483333333336</v>
      </c>
      <c r="J7" s="104">
        <f t="shared" si="0"/>
        <v>0.8086705378462361</v>
      </c>
      <c r="K7" s="101">
        <f>+G7-D7</f>
        <v>-973.15999999999985</v>
      </c>
      <c r="L7" s="101">
        <f>+I7-F7</f>
        <v>-324.38666666666631</v>
      </c>
      <c r="M7" s="62"/>
    </row>
    <row r="8" spans="2:21">
      <c r="B8" s="7" t="s">
        <v>6</v>
      </c>
      <c r="C8" s="17"/>
      <c r="D8" s="11">
        <f>+'2013'!X8</f>
        <v>5234.9096</v>
      </c>
      <c r="E8" s="60">
        <f>+D8/$D$5</f>
        <v>0.70888386981715346</v>
      </c>
      <c r="F8" s="72">
        <f>+D8/F4</f>
        <v>1744.9698666666666</v>
      </c>
      <c r="G8" s="14">
        <f>+'2014'!X8</f>
        <v>4813.4490000000005</v>
      </c>
      <c r="H8" s="60">
        <f>+G8/$G$5</f>
        <v>0.71894114463035574</v>
      </c>
      <c r="I8" s="72">
        <f>+G8/I4</f>
        <v>1604.4830000000002</v>
      </c>
      <c r="J8" s="102">
        <f t="shared" si="0"/>
        <v>0.91949037668195843</v>
      </c>
      <c r="K8" s="103">
        <f>+G8-D8</f>
        <v>-421.46059999999943</v>
      </c>
      <c r="L8" s="103">
        <f>+I8-F8</f>
        <v>-140.4868666666664</v>
      </c>
      <c r="M8" s="62"/>
    </row>
    <row r="9" spans="2:21">
      <c r="B9" s="19" t="s">
        <v>16</v>
      </c>
      <c r="C9" s="17"/>
      <c r="D9" s="15">
        <f>+D5-D6-D8</f>
        <v>-148.60459999999966</v>
      </c>
      <c r="E9" s="59">
        <f>+D9/$D$5</f>
        <v>-2.0123251778909407E-2</v>
      </c>
      <c r="F9" s="15">
        <f>+F5-F6-F8</f>
        <v>-49.53486666666663</v>
      </c>
      <c r="G9" s="15">
        <f>+G5-G6-G8</f>
        <v>-700.30400000000009</v>
      </c>
      <c r="H9" s="59">
        <f>+G9/$G$5</f>
        <v>-0.10459804588128317</v>
      </c>
      <c r="I9" s="15">
        <f>+I5-I6-I8</f>
        <v>-233.43466666666654</v>
      </c>
      <c r="J9" s="104">
        <f t="shared" si="0"/>
        <v>4.7125324518891185</v>
      </c>
      <c r="K9" s="101">
        <f>+G9-D9</f>
        <v>-551.69940000000042</v>
      </c>
      <c r="L9" s="101">
        <f>+I9-F9</f>
        <v>-183.89979999999991</v>
      </c>
      <c r="M9" s="62"/>
    </row>
    <row r="10" spans="2:21" ht="7.5" customHeight="1">
      <c r="B10" s="17"/>
      <c r="C10" s="17"/>
      <c r="D10" s="33"/>
      <c r="E10" s="62"/>
      <c r="F10" s="62"/>
      <c r="G10" s="29"/>
      <c r="H10" s="62"/>
      <c r="I10" s="62"/>
      <c r="J10" s="105"/>
      <c r="K10" s="62"/>
      <c r="L10" s="62"/>
      <c r="M10" s="62"/>
    </row>
    <row r="11" spans="2:21">
      <c r="B11" s="18" t="s">
        <v>20</v>
      </c>
      <c r="C11" s="17"/>
      <c r="D11" s="33">
        <f>+'2013'!X11</f>
        <v>5.98</v>
      </c>
      <c r="E11" s="62"/>
      <c r="F11" s="72">
        <f>+D11/F4</f>
        <v>1.9933333333333334</v>
      </c>
      <c r="G11" s="29">
        <f>+'2014'!X11</f>
        <v>8.4149999999999991</v>
      </c>
      <c r="H11" s="62"/>
      <c r="I11" s="72">
        <f>+G11/I4</f>
        <v>2.8049999999999997</v>
      </c>
      <c r="J11" s="102">
        <f t="shared" si="0"/>
        <v>1.4071906354515047</v>
      </c>
      <c r="K11" s="103">
        <f t="shared" ref="K11:K16" si="1">+G11-D11</f>
        <v>2.4349999999999987</v>
      </c>
      <c r="L11" s="103">
        <f>+I11-F11</f>
        <v>0.81166666666666631</v>
      </c>
      <c r="M11" s="62"/>
    </row>
    <row r="12" spans="2:21">
      <c r="B12" s="18" t="s">
        <v>17</v>
      </c>
      <c r="C12" s="17"/>
      <c r="D12" s="33">
        <f>+'2013'!X12</f>
        <v>2612.096</v>
      </c>
      <c r="E12" s="62"/>
      <c r="F12" s="72">
        <f>+D12/F4</f>
        <v>870.69866666666667</v>
      </c>
      <c r="G12" s="14">
        <f>+'2014'!X12</f>
        <v>2607.5169999999998</v>
      </c>
      <c r="H12" s="62"/>
      <c r="I12" s="72">
        <f>+G12/I4</f>
        <v>869.17233333333331</v>
      </c>
      <c r="J12" s="102">
        <f t="shared" si="0"/>
        <v>0.99824700164159352</v>
      </c>
      <c r="K12" s="103">
        <f t="shared" si="1"/>
        <v>-4.5790000000001783</v>
      </c>
      <c r="L12" s="103">
        <f>+I12-F12</f>
        <v>-1.5263333333333549</v>
      </c>
      <c r="M12" s="62"/>
    </row>
    <row r="13" spans="2:21">
      <c r="B13" s="19" t="s">
        <v>22</v>
      </c>
      <c r="C13" s="17"/>
      <c r="D13" s="34">
        <f>+D12/D5</f>
        <v>0.35371627445369974</v>
      </c>
      <c r="E13" s="62"/>
      <c r="F13" s="34"/>
      <c r="G13" s="34">
        <f>+G12/G5</f>
        <v>0.38946112374372532</v>
      </c>
      <c r="H13" s="62"/>
      <c r="I13" s="34"/>
      <c r="J13" s="100">
        <f t="shared" si="0"/>
        <v>1.1010551446784065</v>
      </c>
      <c r="K13" s="59">
        <f t="shared" si="1"/>
        <v>3.5744849290025582E-2</v>
      </c>
      <c r="L13" s="62"/>
      <c r="M13" s="62"/>
    </row>
    <row r="14" spans="2:21">
      <c r="B14" s="19" t="s">
        <v>18</v>
      </c>
      <c r="C14" s="17"/>
      <c r="D14" s="8">
        <f>+D5/D11</f>
        <v>1234.9031772575252</v>
      </c>
      <c r="E14" s="62"/>
      <c r="F14" s="8"/>
      <c r="G14" s="8">
        <f>+G5/G11</f>
        <v>795.62590612002384</v>
      </c>
      <c r="H14" s="62"/>
      <c r="I14" s="8"/>
      <c r="J14" s="100">
        <f t="shared" si="0"/>
        <v>0.6442820139850568</v>
      </c>
      <c r="K14" s="101">
        <f t="shared" si="1"/>
        <v>-439.27727113750132</v>
      </c>
      <c r="L14" s="62"/>
      <c r="M14" s="62"/>
    </row>
    <row r="15" spans="2:21">
      <c r="B15" s="10" t="s">
        <v>45</v>
      </c>
      <c r="C15" s="17"/>
      <c r="D15" s="8">
        <f>+D12/D11</f>
        <v>436.80535117056854</v>
      </c>
      <c r="E15" s="62"/>
      <c r="F15" s="8"/>
      <c r="G15" s="8">
        <f>+G12/G11</f>
        <v>309.86535947712417</v>
      </c>
      <c r="H15" s="62"/>
      <c r="I15" s="8"/>
      <c r="J15" s="100">
        <f t="shared" si="0"/>
        <v>0.70939002612201185</v>
      </c>
      <c r="K15" s="101">
        <f t="shared" si="1"/>
        <v>-126.93999169344437</v>
      </c>
      <c r="L15" s="62"/>
      <c r="M15" s="62"/>
    </row>
    <row r="16" spans="2:21">
      <c r="B16" s="19" t="s">
        <v>23</v>
      </c>
      <c r="C16" s="17"/>
      <c r="D16" s="34">
        <f>+D12/D7</f>
        <v>0.51355473177483457</v>
      </c>
      <c r="E16" s="62"/>
      <c r="F16" s="34"/>
      <c r="G16" s="34">
        <f>+G12/G7</f>
        <v>0.6339472593356178</v>
      </c>
      <c r="H16" s="62"/>
      <c r="I16" s="34"/>
      <c r="J16" s="100">
        <f t="shared" si="0"/>
        <v>1.2344297892937508</v>
      </c>
      <c r="K16" s="59">
        <f t="shared" si="1"/>
        <v>0.12039252756078322</v>
      </c>
      <c r="L16" s="62"/>
      <c r="M16" s="62"/>
    </row>
    <row r="17" spans="2:13" ht="7.5" customHeight="1">
      <c r="B17" s="7"/>
      <c r="C17" s="17"/>
      <c r="D17" s="33"/>
      <c r="E17" s="62"/>
      <c r="F17" s="62"/>
      <c r="G17" s="29"/>
      <c r="H17" s="62"/>
      <c r="I17" s="62"/>
      <c r="J17" s="105"/>
      <c r="K17" s="62"/>
      <c r="L17" s="62"/>
      <c r="M17" s="62"/>
    </row>
    <row r="18" spans="2:13">
      <c r="B18" s="18" t="s">
        <v>25</v>
      </c>
      <c r="C18" s="17"/>
      <c r="D18" s="11">
        <f>+'2013'!X18</f>
        <v>367066</v>
      </c>
      <c r="E18" s="63">
        <f>+'2013'!Y18</f>
        <v>367066</v>
      </c>
      <c r="F18" s="72">
        <f>+D18/F4</f>
        <v>122355.33333333333</v>
      </c>
      <c r="G18" s="14">
        <f>+'2014'!X18</f>
        <v>432261</v>
      </c>
      <c r="H18" s="72">
        <f>+'2014'!Y18</f>
        <v>432261</v>
      </c>
      <c r="I18" s="72">
        <f>+G18/I4</f>
        <v>144087</v>
      </c>
      <c r="J18" s="102">
        <f t="shared" si="0"/>
        <v>1.1776111108084104</v>
      </c>
      <c r="K18" s="103">
        <f t="shared" ref="K18:K24" si="2">+G18-D18</f>
        <v>65195</v>
      </c>
      <c r="L18" s="103">
        <f>+I18-F18</f>
        <v>21731.666666666672</v>
      </c>
      <c r="M18" s="62"/>
    </row>
    <row r="19" spans="2:13">
      <c r="B19" s="18" t="s">
        <v>19</v>
      </c>
      <c r="C19" s="17"/>
      <c r="D19" s="11">
        <f>+'2013'!X19</f>
        <v>33386</v>
      </c>
      <c r="E19" s="64">
        <f>+'2013'!Y19</f>
        <v>33384</v>
      </c>
      <c r="F19" s="72">
        <f>+D19/F4</f>
        <v>11128.666666666666</v>
      </c>
      <c r="G19" s="14">
        <f>+'2014'!X19</f>
        <v>33143</v>
      </c>
      <c r="H19" s="72">
        <f>+'2014'!Y19</f>
        <v>33143</v>
      </c>
      <c r="I19" s="72">
        <f>+G19/I4</f>
        <v>11047.666666666666</v>
      </c>
      <c r="J19" s="102">
        <f t="shared" si="0"/>
        <v>0.99272150002995263</v>
      </c>
      <c r="K19" s="103">
        <f t="shared" si="2"/>
        <v>-243</v>
      </c>
      <c r="L19" s="103">
        <f>+I19-F19</f>
        <v>-81</v>
      </c>
      <c r="M19" s="62"/>
    </row>
    <row r="20" spans="2:13">
      <c r="B20" s="18" t="s">
        <v>30</v>
      </c>
      <c r="C20" s="17"/>
      <c r="D20" s="11">
        <f>+'2013'!X20</f>
        <v>1208.752</v>
      </c>
      <c r="E20" s="64">
        <f>+'2013'!Y20</f>
        <v>1220.4349999999999</v>
      </c>
      <c r="F20" s="72">
        <f>+D20/F4</f>
        <v>402.91733333333332</v>
      </c>
      <c r="G20" s="14">
        <f>+'2014'!X20</f>
        <v>1215.002</v>
      </c>
      <c r="H20" s="72">
        <f>+'2014'!Y20</f>
        <v>1215.002</v>
      </c>
      <c r="I20" s="72">
        <f>+G20/I4</f>
        <v>405.00066666666663</v>
      </c>
      <c r="J20" s="102">
        <f t="shared" si="0"/>
        <v>1.0051706222616386</v>
      </c>
      <c r="K20" s="103">
        <f t="shared" si="2"/>
        <v>6.25</v>
      </c>
      <c r="L20" s="103">
        <f>+I20-F20</f>
        <v>2.0833333333333144</v>
      </c>
      <c r="M20" s="62"/>
    </row>
    <row r="21" spans="2:13">
      <c r="B21" s="19" t="s">
        <v>21</v>
      </c>
      <c r="C21" s="17"/>
      <c r="D21" s="47">
        <f>+D20/D19*1000</f>
        <v>36.205355538249563</v>
      </c>
      <c r="E21" s="65">
        <f>+E20/E19*1000</f>
        <v>36.557482626407861</v>
      </c>
      <c r="F21" s="65"/>
      <c r="G21" s="47">
        <f>+G20/G19*1000</f>
        <v>36.659385088857377</v>
      </c>
      <c r="H21" s="99">
        <f>+H20/H19*1000</f>
        <v>36.659385088857377</v>
      </c>
      <c r="I21" s="99"/>
      <c r="J21" s="100">
        <f t="shared" si="0"/>
        <v>1.0125403975146203</v>
      </c>
      <c r="K21" s="101">
        <f t="shared" si="2"/>
        <v>0.4540295506078138</v>
      </c>
      <c r="L21" s="106">
        <f>+H21/E21</f>
        <v>1.00278745841148</v>
      </c>
      <c r="M21" s="107">
        <f>+H21-E21</f>
        <v>0.10190246244951595</v>
      </c>
    </row>
    <row r="22" spans="2:13">
      <c r="B22" s="19" t="s">
        <v>24</v>
      </c>
      <c r="C22" s="17"/>
      <c r="D22" s="49">
        <f>+D19/D18</f>
        <v>9.095367045708401E-2</v>
      </c>
      <c r="E22" s="49">
        <f>+E19/E18</f>
        <v>9.0948221845662633E-2</v>
      </c>
      <c r="F22" s="66"/>
      <c r="G22" s="58">
        <f>+G19/G18</f>
        <v>7.6673583783871319E-2</v>
      </c>
      <c r="H22" s="49">
        <f>+H19/H18</f>
        <v>7.6673583783871319E-2</v>
      </c>
      <c r="I22" s="66"/>
      <c r="J22" s="100">
        <f t="shared" si="0"/>
        <v>0.84299603741719609</v>
      </c>
      <c r="K22" s="101">
        <f t="shared" si="2"/>
        <v>-1.4280086673212691E-2</v>
      </c>
      <c r="L22" s="62"/>
      <c r="M22" s="62"/>
    </row>
    <row r="23" spans="2:13">
      <c r="B23" s="10" t="s">
        <v>31</v>
      </c>
      <c r="C23" s="10"/>
      <c r="D23" s="51">
        <f>+D20*1000/(D18*D21)*100</f>
        <v>9.0953670457084002</v>
      </c>
      <c r="E23" s="51">
        <f>+E20*1000/(E18*E21)*100</f>
        <v>9.0948221845662633</v>
      </c>
      <c r="F23" s="67"/>
      <c r="G23" s="51">
        <f>+G20/(G18*G21)*1000*100</f>
        <v>7.6673583783871315</v>
      </c>
      <c r="H23" s="51">
        <f>+H20*1000/(H18*H21)*100</f>
        <v>7.6673583783871315</v>
      </c>
      <c r="I23" s="67"/>
      <c r="J23" s="100">
        <f t="shared" si="0"/>
        <v>0.8429960374171962</v>
      </c>
      <c r="K23" s="101">
        <f t="shared" si="2"/>
        <v>-1.4280086673212686</v>
      </c>
      <c r="L23" s="62"/>
      <c r="M23" s="62"/>
    </row>
    <row r="24" spans="2:13">
      <c r="B24" s="19" t="s">
        <v>50</v>
      </c>
      <c r="C24" s="10"/>
      <c r="D24" s="51">
        <f>+D20/D18*1000</f>
        <v>3.2930099764075127</v>
      </c>
      <c r="E24" s="51">
        <f>+E20/E18*1000</f>
        <v>3.3248380400254995</v>
      </c>
      <c r="F24" s="67"/>
      <c r="G24" s="51">
        <f>+G20/G18*1000</f>
        <v>2.8108064340757091</v>
      </c>
      <c r="H24" s="51">
        <f>+H20/H18*1000</f>
        <v>2.8108064340757091</v>
      </c>
      <c r="I24" s="67"/>
      <c r="J24" s="100">
        <f t="shared" si="0"/>
        <v>0.85356754282965752</v>
      </c>
      <c r="K24" s="101">
        <f t="shared" si="2"/>
        <v>-0.48220354233180363</v>
      </c>
      <c r="L24" s="62"/>
      <c r="M24" s="62"/>
    </row>
    <row r="25" spans="2:13" ht="7.5" customHeight="1">
      <c r="B25" s="17"/>
      <c r="E25" s="68"/>
      <c r="F25" s="67"/>
      <c r="G25" s="12"/>
      <c r="H25" s="68"/>
      <c r="I25" s="68"/>
      <c r="J25" s="105"/>
      <c r="K25" s="62"/>
      <c r="L25" s="68"/>
      <c r="M25" s="68"/>
    </row>
    <row r="26" spans="2:13">
      <c r="B26" s="21" t="s">
        <v>47</v>
      </c>
      <c r="C26" s="20"/>
      <c r="D26" s="22">
        <f>+D8/(1-D6/D5)</f>
        <v>7600.4775286227614</v>
      </c>
      <c r="E26" s="68"/>
      <c r="F26" s="67"/>
      <c r="G26" s="22">
        <f>+G8/(1-G6/G5)</f>
        <v>7835.1152797209934</v>
      </c>
      <c r="H26" s="68"/>
      <c r="I26" s="68"/>
      <c r="J26" s="38">
        <f>+G26/D26</f>
        <v>1.0308714485655153</v>
      </c>
      <c r="K26" s="22">
        <f>+G26-D26</f>
        <v>234.637751098232</v>
      </c>
    </row>
    <row r="27" spans="2:13">
      <c r="F27" s="68"/>
      <c r="G27" s="12"/>
    </row>
    <row r="28" spans="2:13">
      <c r="G28" s="12"/>
    </row>
    <row r="29" spans="2:13">
      <c r="G29" s="12"/>
    </row>
    <row r="30" spans="2:13">
      <c r="G30" s="12"/>
    </row>
    <row r="31" spans="2:13">
      <c r="G31" s="12"/>
    </row>
    <row r="32" spans="2:13">
      <c r="G32" s="12"/>
    </row>
    <row r="33" spans="7:7">
      <c r="G33" s="12"/>
    </row>
    <row r="34" spans="7:7">
      <c r="G34" s="12"/>
    </row>
    <row r="35" spans="7:7">
      <c r="G35" s="12"/>
    </row>
    <row r="36" spans="7:7">
      <c r="G36" s="12"/>
    </row>
    <row r="37" spans="7:7">
      <c r="G37" s="12"/>
    </row>
    <row r="38" spans="7:7">
      <c r="G38" s="12"/>
    </row>
    <row r="39" spans="7:7">
      <c r="G39" s="12"/>
    </row>
    <row r="40" spans="7:7">
      <c r="G40" s="12"/>
    </row>
    <row r="41" spans="7:7">
      <c r="G41" s="12"/>
    </row>
    <row r="42" spans="7:7">
      <c r="G42" s="12"/>
    </row>
    <row r="43" spans="7:7">
      <c r="G43" s="12"/>
    </row>
    <row r="44" spans="7:7">
      <c r="G44" s="12"/>
    </row>
    <row r="45" spans="7:7">
      <c r="G45" s="12"/>
    </row>
    <row r="46" spans="7:7">
      <c r="G46" s="12"/>
    </row>
    <row r="47" spans="7:7">
      <c r="G47" s="12"/>
    </row>
    <row r="48" spans="7:7">
      <c r="G48" s="12"/>
    </row>
    <row r="49" spans="7:7">
      <c r="G49" s="12"/>
    </row>
    <row r="50" spans="7:7">
      <c r="G50" s="12"/>
    </row>
    <row r="51" spans="7:7">
      <c r="G51" s="12"/>
    </row>
    <row r="52" spans="7:7">
      <c r="G52" s="12"/>
    </row>
    <row r="53" spans="7:7">
      <c r="G53" s="12"/>
    </row>
    <row r="54" spans="7:7">
      <c r="G54" s="12"/>
    </row>
    <row r="55" spans="7:7">
      <c r="G55" s="12"/>
    </row>
    <row r="56" spans="7:7">
      <c r="G56" s="12"/>
    </row>
    <row r="57" spans="7:7">
      <c r="G57" s="12"/>
    </row>
    <row r="58" spans="7:7">
      <c r="G58" s="12"/>
    </row>
    <row r="59" spans="7:7">
      <c r="G59" s="12"/>
    </row>
    <row r="60" spans="7:7">
      <c r="G60" s="12"/>
    </row>
    <row r="61" spans="7:7">
      <c r="G61" s="12"/>
    </row>
    <row r="62" spans="7:7">
      <c r="G62" s="12"/>
    </row>
    <row r="63" spans="7:7">
      <c r="G63" s="12"/>
    </row>
    <row r="64" spans="7:7">
      <c r="G64" s="12"/>
    </row>
    <row r="65" spans="7:7">
      <c r="G65" s="12"/>
    </row>
    <row r="66" spans="7:7">
      <c r="G66" s="12"/>
    </row>
    <row r="67" spans="7:7">
      <c r="G67" s="12"/>
    </row>
    <row r="68" spans="7:7">
      <c r="G68" s="12"/>
    </row>
    <row r="69" spans="7:7">
      <c r="G69" s="12"/>
    </row>
    <row r="70" spans="7:7">
      <c r="G70" s="12"/>
    </row>
    <row r="71" spans="7:7">
      <c r="G71" s="12"/>
    </row>
    <row r="72" spans="7:7">
      <c r="G72" s="12"/>
    </row>
    <row r="73" spans="7:7">
      <c r="G73" s="12"/>
    </row>
    <row r="74" spans="7:7">
      <c r="G74" s="12"/>
    </row>
    <row r="75" spans="7:7">
      <c r="G75" s="12"/>
    </row>
    <row r="76" spans="7:7">
      <c r="G76" s="12"/>
    </row>
    <row r="77" spans="7:7">
      <c r="G77" s="12"/>
    </row>
    <row r="78" spans="7:7">
      <c r="G78" s="12"/>
    </row>
  </sheetData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U78"/>
  <sheetViews>
    <sheetView workbookViewId="0">
      <pane xSplit="3" ySplit="4" topLeftCell="D5" activePane="bottomRight" state="frozen"/>
      <selection pane="topRight" activeCell="C1" sqref="C1"/>
      <selection pane="bottomLeft" activeCell="A5" sqref="A5"/>
      <selection pane="bottomRight" activeCell="G25" sqref="G25"/>
    </sheetView>
  </sheetViews>
  <sheetFormatPr defaultRowHeight="15"/>
  <cols>
    <col min="1" max="1" width="1.7109375" customWidth="1"/>
    <col min="2" max="2" width="25.5703125" customWidth="1"/>
    <col min="3" max="3" width="1.7109375" customWidth="1"/>
    <col min="4" max="4" width="13.7109375" customWidth="1"/>
    <col min="5" max="6" width="8.7109375" customWidth="1"/>
    <col min="7" max="7" width="13.7109375" customWidth="1"/>
    <col min="8" max="9" width="8.7109375" customWidth="1"/>
    <col min="10" max="11" width="11.7109375" customWidth="1"/>
    <col min="12" max="13" width="10.7109375" customWidth="1"/>
    <col min="14" max="14" width="13.7109375" customWidth="1"/>
    <col min="15" max="15" width="8.7109375" customWidth="1"/>
    <col min="16" max="16" width="13.7109375" customWidth="1"/>
    <col min="17" max="18" width="2.7109375" customWidth="1"/>
    <col min="19" max="19" width="13.7109375" customWidth="1"/>
    <col min="20" max="20" width="8.7109375" customWidth="1"/>
    <col min="21" max="22" width="13.7109375" customWidth="1"/>
    <col min="23" max="23" width="9.28515625" customWidth="1"/>
    <col min="24" max="25" width="2.7109375" customWidth="1"/>
    <col min="26" max="26" width="13.7109375" customWidth="1"/>
    <col min="28" max="28" width="13.7109375" customWidth="1"/>
  </cols>
  <sheetData>
    <row r="1" spans="2:21" ht="15.75">
      <c r="B1" s="2" t="s">
        <v>0</v>
      </c>
      <c r="J1" s="26"/>
    </row>
    <row r="2" spans="2:21">
      <c r="B2" s="43" t="s">
        <v>46</v>
      </c>
      <c r="D2" s="3" t="s">
        <v>2</v>
      </c>
      <c r="E2" s="5" t="s">
        <v>26</v>
      </c>
      <c r="F2" s="55" t="s">
        <v>48</v>
      </c>
      <c r="G2" s="3" t="s">
        <v>2</v>
      </c>
      <c r="H2" s="5" t="s">
        <v>26</v>
      </c>
      <c r="I2" s="55" t="s">
        <v>48</v>
      </c>
      <c r="J2" s="27" t="s">
        <v>37</v>
      </c>
      <c r="K2" s="1" t="s">
        <v>38</v>
      </c>
      <c r="L2" s="113" t="s">
        <v>51</v>
      </c>
      <c r="M2" s="113"/>
      <c r="N2" s="3"/>
      <c r="O2" s="5"/>
      <c r="P2" s="3"/>
      <c r="S2" s="3"/>
      <c r="T2" s="5"/>
      <c r="U2" s="1"/>
    </row>
    <row r="3" spans="2:21">
      <c r="B3" s="45" t="s">
        <v>1</v>
      </c>
      <c r="D3" s="4" t="s">
        <v>33</v>
      </c>
      <c r="E3" s="24" t="s">
        <v>27</v>
      </c>
      <c r="F3" s="3" t="s">
        <v>49</v>
      </c>
      <c r="G3" s="4" t="s">
        <v>7</v>
      </c>
      <c r="H3" s="6" t="s">
        <v>27</v>
      </c>
      <c r="I3" s="3" t="s">
        <v>49</v>
      </c>
      <c r="J3" s="28" t="s">
        <v>39</v>
      </c>
      <c r="K3" s="25" t="s">
        <v>40</v>
      </c>
      <c r="L3" s="25" t="s">
        <v>40</v>
      </c>
      <c r="M3" s="25"/>
      <c r="N3" s="4"/>
      <c r="O3" s="6"/>
      <c r="P3" s="4"/>
      <c r="S3" s="4"/>
      <c r="T3" s="6"/>
    </row>
    <row r="4" spans="2:21">
      <c r="B4" s="46">
        <v>9405</v>
      </c>
      <c r="D4" s="23" t="s">
        <v>28</v>
      </c>
      <c r="E4" s="3" t="s">
        <v>29</v>
      </c>
      <c r="F4" s="3">
        <f>+'2013'!L4</f>
        <v>3</v>
      </c>
      <c r="G4" s="23" t="s">
        <v>28</v>
      </c>
      <c r="H4" s="3" t="s">
        <v>29</v>
      </c>
      <c r="I4" s="3">
        <f>+'2014'!L4</f>
        <v>3</v>
      </c>
      <c r="J4" s="26"/>
      <c r="M4" s="3"/>
    </row>
    <row r="5" spans="2:21">
      <c r="B5" s="10" t="s">
        <v>4</v>
      </c>
      <c r="C5" s="17"/>
      <c r="D5" s="8">
        <f>+'2013'!J5</f>
        <v>884.96600000000001</v>
      </c>
      <c r="E5" s="59">
        <f>+D5/$D$5</f>
        <v>1</v>
      </c>
      <c r="F5" s="109">
        <f>+D5/F4</f>
        <v>294.98866666666669</v>
      </c>
      <c r="G5" s="13">
        <f>+'2014'!J5</f>
        <v>1180</v>
      </c>
      <c r="H5" s="59">
        <f>+G5/$G$5</f>
        <v>1</v>
      </c>
      <c r="I5" s="109">
        <f>+G5/I4</f>
        <v>393.33333333333331</v>
      </c>
      <c r="J5" s="100">
        <f t="shared" ref="J5:J23" si="0">+G5/D5</f>
        <v>1.3333845594068021</v>
      </c>
      <c r="K5" s="101">
        <f>+G5-D5</f>
        <v>295.03399999999999</v>
      </c>
      <c r="L5" s="101">
        <f>+I5-F5</f>
        <v>98.344666666666626</v>
      </c>
      <c r="M5" s="101"/>
    </row>
    <row r="6" spans="2:21">
      <c r="B6" s="7" t="s">
        <v>5</v>
      </c>
      <c r="C6" s="17"/>
      <c r="D6" s="11">
        <f>+'2013'!J6</f>
        <v>276.91699999999997</v>
      </c>
      <c r="E6" s="60">
        <f>+D6/$D$5</f>
        <v>0.31291258647224862</v>
      </c>
      <c r="F6" s="72">
        <f>+D6/F4</f>
        <v>92.305666666666653</v>
      </c>
      <c r="G6" s="14">
        <f>+'2014'!J6</f>
        <v>376.8</v>
      </c>
      <c r="H6" s="60">
        <f>+G6/$G$5</f>
        <v>0.3193220338983051</v>
      </c>
      <c r="I6" s="72">
        <f>+G6/I4</f>
        <v>125.60000000000001</v>
      </c>
      <c r="J6" s="102">
        <f t="shared" si="0"/>
        <v>1.360696526395996</v>
      </c>
      <c r="K6" s="103">
        <f>+G6-D6</f>
        <v>99.883000000000038</v>
      </c>
      <c r="L6" s="103">
        <f>+I6-F6</f>
        <v>33.294333333333356</v>
      </c>
      <c r="M6" s="101"/>
    </row>
    <row r="7" spans="2:21">
      <c r="B7" s="10" t="s">
        <v>8</v>
      </c>
      <c r="C7" s="17"/>
      <c r="D7" s="9">
        <f>+'2013'!J7</f>
        <v>608.04899999999998</v>
      </c>
      <c r="E7" s="61">
        <f>+D7/$D$5</f>
        <v>0.68708741352775127</v>
      </c>
      <c r="F7" s="111">
        <f>+F5-F6</f>
        <v>202.68300000000005</v>
      </c>
      <c r="G7" s="8">
        <f>+'2014'!J7</f>
        <v>803.2</v>
      </c>
      <c r="H7" s="61">
        <f>+G7/$G$5</f>
        <v>0.68067796610169495</v>
      </c>
      <c r="I7" s="111">
        <f>+I5-I6</f>
        <v>267.73333333333329</v>
      </c>
      <c r="J7" s="104">
        <f t="shared" si="0"/>
        <v>1.3209461737458661</v>
      </c>
      <c r="K7" s="101">
        <f>+G7-D7</f>
        <v>195.15100000000007</v>
      </c>
      <c r="L7" s="101">
        <f>+I7-F7</f>
        <v>65.050333333333242</v>
      </c>
      <c r="M7" s="62"/>
    </row>
    <row r="8" spans="2:21">
      <c r="B8" s="7" t="s">
        <v>6</v>
      </c>
      <c r="C8" s="17"/>
      <c r="D8" s="11">
        <f>+'2013'!J8</f>
        <v>602.90200000000004</v>
      </c>
      <c r="E8" s="60">
        <f>+D8/$D$5</f>
        <v>0.68127137087752532</v>
      </c>
      <c r="F8" s="72">
        <f>+D8/F4</f>
        <v>200.96733333333336</v>
      </c>
      <c r="G8" s="14">
        <f>+'2014'!J8</f>
        <v>569.19900000000007</v>
      </c>
      <c r="H8" s="60">
        <f>+G8/$G$5</f>
        <v>0.48237203389830513</v>
      </c>
      <c r="I8" s="72">
        <f>+G8/I4</f>
        <v>189.73300000000003</v>
      </c>
      <c r="J8" s="102">
        <f t="shared" si="0"/>
        <v>0.94409870924296158</v>
      </c>
      <c r="K8" s="103">
        <f>+G8-D8</f>
        <v>-33.702999999999975</v>
      </c>
      <c r="L8" s="103">
        <f>+I8-F8</f>
        <v>-11.234333333333325</v>
      </c>
      <c r="M8" s="62"/>
    </row>
    <row r="9" spans="2:21">
      <c r="B9" s="19" t="s">
        <v>16</v>
      </c>
      <c r="C9" s="17"/>
      <c r="D9" s="15">
        <f>+D5-D6-D8</f>
        <v>5.1469999999999345</v>
      </c>
      <c r="E9" s="59">
        <f>+D9/$D$5</f>
        <v>5.8160426502260366E-3</v>
      </c>
      <c r="F9" s="15">
        <f>+F5-F6-F8</f>
        <v>1.7156666666666922</v>
      </c>
      <c r="G9" s="15">
        <f>+G5-G6-G8</f>
        <v>234.00099999999998</v>
      </c>
      <c r="H9" s="59">
        <f>+G9/$G$5</f>
        <v>0.19830593220338982</v>
      </c>
      <c r="I9" s="15">
        <f>+I5-I6-I8</f>
        <v>78.000333333333259</v>
      </c>
      <c r="J9" s="104">
        <f t="shared" si="0"/>
        <v>45.463571012240713</v>
      </c>
      <c r="K9" s="101">
        <f>+G9-D9</f>
        <v>228.85400000000004</v>
      </c>
      <c r="L9" s="101">
        <f>+I9-F9</f>
        <v>76.284666666666567</v>
      </c>
      <c r="M9" s="62"/>
    </row>
    <row r="10" spans="2:21" ht="7.5" customHeight="1">
      <c r="B10" s="17"/>
      <c r="C10" s="17"/>
      <c r="D10" s="33"/>
      <c r="E10" s="62"/>
      <c r="F10" s="62"/>
      <c r="G10" s="29"/>
      <c r="H10" s="62"/>
      <c r="I10" s="62"/>
      <c r="J10" s="105"/>
      <c r="K10" s="62"/>
      <c r="L10" s="62"/>
      <c r="M10" s="62"/>
    </row>
    <row r="11" spans="2:21">
      <c r="B11" s="18" t="s">
        <v>20</v>
      </c>
      <c r="C11" s="17"/>
      <c r="D11" s="11">
        <f>+'2013'!J11</f>
        <v>5.98</v>
      </c>
      <c r="E11" s="114"/>
      <c r="F11" s="72">
        <f>+D11/F4</f>
        <v>1.9933333333333334</v>
      </c>
      <c r="G11" s="14">
        <f>+'2014'!J11</f>
        <v>8.4149999999999991</v>
      </c>
      <c r="H11" s="114"/>
      <c r="I11" s="72">
        <f>+G11/I4</f>
        <v>2.8049999999999997</v>
      </c>
      <c r="J11" s="102">
        <f t="shared" si="0"/>
        <v>1.4071906354515047</v>
      </c>
      <c r="K11" s="103">
        <f t="shared" ref="K11:K16" si="1">+G11-D11</f>
        <v>2.4349999999999987</v>
      </c>
      <c r="L11" s="103">
        <f>+I11-F11</f>
        <v>0.81166666666666631</v>
      </c>
      <c r="M11" s="62"/>
    </row>
    <row r="12" spans="2:21">
      <c r="B12" s="18" t="s">
        <v>17</v>
      </c>
      <c r="C12" s="17"/>
      <c r="D12" s="11">
        <f>+'2013'!J12</f>
        <v>282.11399999999998</v>
      </c>
      <c r="E12" s="114"/>
      <c r="F12" s="72">
        <f>+D12/F4</f>
        <v>94.037999999999997</v>
      </c>
      <c r="G12" s="14">
        <f>+'2014'!J12</f>
        <v>284.76900000000001</v>
      </c>
      <c r="H12" s="114"/>
      <c r="I12" s="72">
        <f>+G12/I4</f>
        <v>94.923000000000002</v>
      </c>
      <c r="J12" s="102">
        <f t="shared" si="0"/>
        <v>1.0094110891341799</v>
      </c>
      <c r="K12" s="103">
        <f t="shared" si="1"/>
        <v>2.6550000000000296</v>
      </c>
      <c r="L12" s="103">
        <f>+I12-F12</f>
        <v>0.88500000000000512</v>
      </c>
      <c r="M12" s="62"/>
    </row>
    <row r="13" spans="2:21">
      <c r="B13" s="19" t="s">
        <v>22</v>
      </c>
      <c r="C13" s="17"/>
      <c r="D13" s="34">
        <f>+D12/D5</f>
        <v>0.31878512846821233</v>
      </c>
      <c r="E13" s="62"/>
      <c r="F13" s="34"/>
      <c r="G13" s="34">
        <f>+G12/G5</f>
        <v>0.24132966101694917</v>
      </c>
      <c r="H13" s="62"/>
      <c r="I13" s="34"/>
      <c r="J13" s="100">
        <f t="shared" si="0"/>
        <v>0.75702923212433781</v>
      </c>
      <c r="K13" s="59">
        <f t="shared" si="1"/>
        <v>-7.7455467451263166E-2</v>
      </c>
      <c r="L13" s="62"/>
      <c r="M13" s="62"/>
    </row>
    <row r="14" spans="2:21">
      <c r="B14" s="19" t="s">
        <v>18</v>
      </c>
      <c r="C14" s="17"/>
      <c r="D14" s="8">
        <f>+D5/D11</f>
        <v>147.98762541806019</v>
      </c>
      <c r="E14" s="62"/>
      <c r="F14" s="8"/>
      <c r="G14" s="8">
        <f>+G5/G11</f>
        <v>140.22578728461082</v>
      </c>
      <c r="H14" s="62"/>
      <c r="I14" s="8"/>
      <c r="J14" s="100">
        <f t="shared" si="0"/>
        <v>0.9475507623592011</v>
      </c>
      <c r="K14" s="101">
        <f t="shared" si="1"/>
        <v>-7.7618381334493733</v>
      </c>
      <c r="L14" s="62"/>
      <c r="M14" s="62"/>
    </row>
    <row r="15" spans="2:21">
      <c r="B15" s="10" t="s">
        <v>45</v>
      </c>
      <c r="C15" s="17"/>
      <c r="D15" s="8">
        <f>+D12/D11</f>
        <v>47.176254180602001</v>
      </c>
      <c r="E15" s="62"/>
      <c r="F15" s="8"/>
      <c r="G15" s="8">
        <f>+G12/G11</f>
        <v>33.840641711229949</v>
      </c>
      <c r="H15" s="62"/>
      <c r="I15" s="8"/>
      <c r="J15" s="100">
        <f t="shared" si="0"/>
        <v>0.7173236260276169</v>
      </c>
      <c r="K15" s="101">
        <f t="shared" si="1"/>
        <v>-13.335612469372052</v>
      </c>
      <c r="L15" s="62"/>
      <c r="M15" s="62"/>
    </row>
    <row r="16" spans="2:21">
      <c r="B16" s="19" t="s">
        <v>23</v>
      </c>
      <c r="C16" s="17"/>
      <c r="D16" s="34">
        <f>+D12/D7</f>
        <v>0.46396589748523553</v>
      </c>
      <c r="E16" s="62"/>
      <c r="F16" s="34"/>
      <c r="G16" s="34">
        <f>+G12/G7</f>
        <v>0.35454307768924304</v>
      </c>
      <c r="H16" s="62"/>
      <c r="I16" s="34"/>
      <c r="J16" s="100">
        <f t="shared" si="0"/>
        <v>0.76415762367648021</v>
      </c>
      <c r="K16" s="59">
        <f t="shared" si="1"/>
        <v>-0.1094228197959925</v>
      </c>
      <c r="L16" s="62"/>
      <c r="M16" s="62"/>
    </row>
    <row r="17" spans="2:13" ht="7.5" customHeight="1">
      <c r="B17" s="7"/>
      <c r="C17" s="17"/>
      <c r="D17" s="33"/>
      <c r="E17" s="62"/>
      <c r="F17" s="62"/>
      <c r="G17" s="29"/>
      <c r="H17" s="62"/>
      <c r="I17" s="62"/>
      <c r="J17" s="105"/>
      <c r="K17" s="62"/>
      <c r="L17" s="62"/>
      <c r="M17" s="62"/>
    </row>
    <row r="18" spans="2:13">
      <c r="B18" s="18" t="s">
        <v>25</v>
      </c>
      <c r="C18" s="17"/>
      <c r="D18" s="11">
        <f>+'2013'!J18</f>
        <v>39930</v>
      </c>
      <c r="E18" s="63">
        <f>+'2013'!K18</f>
        <v>39930</v>
      </c>
      <c r="F18" s="72">
        <f>+D18/F4</f>
        <v>13310</v>
      </c>
      <c r="G18" s="14">
        <f>+'2014'!J18</f>
        <v>52029</v>
      </c>
      <c r="H18" s="72">
        <f>+'2014'!K18</f>
        <v>52029</v>
      </c>
      <c r="I18" s="72">
        <f>+G18/I4</f>
        <v>17343</v>
      </c>
      <c r="J18" s="102">
        <f t="shared" si="0"/>
        <v>1.3030052592036063</v>
      </c>
      <c r="K18" s="103">
        <f t="shared" ref="K18:K23" si="2">+G18-D18</f>
        <v>12099</v>
      </c>
      <c r="L18" s="103">
        <f>+I18-F18</f>
        <v>4033</v>
      </c>
      <c r="M18" s="110"/>
    </row>
    <row r="19" spans="2:13">
      <c r="B19" s="18" t="s">
        <v>19</v>
      </c>
      <c r="C19" s="17"/>
      <c r="D19" s="11">
        <f>+'2013'!J19</f>
        <v>3659</v>
      </c>
      <c r="E19" s="64">
        <f>+'2013'!K19</f>
        <v>3657</v>
      </c>
      <c r="F19" s="72">
        <f>+D19/F4</f>
        <v>1219.6666666666667</v>
      </c>
      <c r="G19" s="14">
        <f>+'2014'!J19</f>
        <v>3761</v>
      </c>
      <c r="H19" s="72">
        <f>+'2014'!K19</f>
        <v>3761</v>
      </c>
      <c r="I19" s="72">
        <f>+G19/I4</f>
        <v>1253.6666666666667</v>
      </c>
      <c r="J19" s="102">
        <f t="shared" si="0"/>
        <v>1.0278764689805957</v>
      </c>
      <c r="K19" s="103">
        <f t="shared" si="2"/>
        <v>102</v>
      </c>
      <c r="L19" s="103">
        <f>+I19-F19</f>
        <v>34</v>
      </c>
      <c r="M19" s="110"/>
    </row>
    <row r="20" spans="2:13">
      <c r="B20" s="18" t="s">
        <v>30</v>
      </c>
      <c r="C20" s="17"/>
      <c r="D20" s="11">
        <f>+'2013'!J20</f>
        <v>138.58199999999999</v>
      </c>
      <c r="E20" s="64">
        <f>+'2013'!K20</f>
        <v>137.482</v>
      </c>
      <c r="F20" s="72">
        <f>+D20/F4</f>
        <v>46.193999999999996</v>
      </c>
      <c r="G20" s="14">
        <f>+'2014'!J20</f>
        <v>139.06200000000001</v>
      </c>
      <c r="H20" s="72">
        <f>+'2014'!K20</f>
        <v>139.06200000000001</v>
      </c>
      <c r="I20" s="72">
        <f>+G20/I4</f>
        <v>46.354000000000006</v>
      </c>
      <c r="J20" s="102">
        <f t="shared" si="0"/>
        <v>1.0034636532883059</v>
      </c>
      <c r="K20" s="103">
        <f t="shared" si="2"/>
        <v>0.48000000000001819</v>
      </c>
      <c r="L20" s="103">
        <f>+I20-F20</f>
        <v>0.1600000000000108</v>
      </c>
      <c r="M20" s="62"/>
    </row>
    <row r="21" spans="2:13">
      <c r="B21" s="19" t="s">
        <v>21</v>
      </c>
      <c r="C21" s="17"/>
      <c r="D21" s="47">
        <f>+D20/D19*1000</f>
        <v>37.874282590871822</v>
      </c>
      <c r="E21" s="65">
        <f>+E20/E19*1000</f>
        <v>37.594202898550726</v>
      </c>
      <c r="F21" s="65"/>
      <c r="G21" s="47">
        <f>+G20/G19*1000</f>
        <v>36.974740760436063</v>
      </c>
      <c r="H21" s="99">
        <f>+H20/H19*1000</f>
        <v>36.974740760436063</v>
      </c>
      <c r="I21" s="65"/>
      <c r="J21" s="100">
        <f t="shared" si="0"/>
        <v>0.97624927077423873</v>
      </c>
      <c r="K21" s="101">
        <f t="shared" si="2"/>
        <v>-0.89954183043575853</v>
      </c>
      <c r="L21" s="106">
        <f>+H21/E21</f>
        <v>0.98352240264845348</v>
      </c>
      <c r="M21" s="107">
        <f>+I21-G21</f>
        <v>-36.974740760436063</v>
      </c>
    </row>
    <row r="22" spans="2:13">
      <c r="B22" s="19" t="s">
        <v>24</v>
      </c>
      <c r="C22" s="17"/>
      <c r="D22" s="49">
        <f>+D19/D18</f>
        <v>9.1635361883295768E-2</v>
      </c>
      <c r="E22" s="49">
        <f>+E19/E18</f>
        <v>9.1585274229902328E-2</v>
      </c>
      <c r="F22" s="66"/>
      <c r="G22" s="58">
        <f>+G19/G18</f>
        <v>7.2286609390916606E-2</v>
      </c>
      <c r="H22" s="49">
        <f>+H19/H18</f>
        <v>7.2286609390916606E-2</v>
      </c>
      <c r="I22" s="66"/>
      <c r="J22" s="100">
        <f t="shared" si="0"/>
        <v>0.78885059113946432</v>
      </c>
      <c r="K22" s="101">
        <f t="shared" si="2"/>
        <v>-1.9348752492379162E-2</v>
      </c>
      <c r="L22" s="62"/>
      <c r="M22" s="62"/>
    </row>
    <row r="23" spans="2:13">
      <c r="B23" s="10" t="s">
        <v>31</v>
      </c>
      <c r="C23" s="10"/>
      <c r="D23" s="51">
        <f>+D20*1000/(D18*D21)*100</f>
        <v>9.1635361883295765</v>
      </c>
      <c r="E23" s="51">
        <f>+E20*1000/(E18*E21)*100</f>
        <v>9.1585274229902307</v>
      </c>
      <c r="F23" s="67"/>
      <c r="G23" s="51">
        <f>+G20/(G18*G21)*1000*100</f>
        <v>7.2286609390916592</v>
      </c>
      <c r="H23" s="51">
        <f>+H20*1000/(H18*H21)*100</f>
        <v>7.2286609390916574</v>
      </c>
      <c r="I23" s="67"/>
      <c r="J23" s="100">
        <f t="shared" si="0"/>
        <v>0.78885059113946421</v>
      </c>
      <c r="K23" s="101">
        <f t="shared" si="2"/>
        <v>-1.9348752492379173</v>
      </c>
      <c r="L23" s="62"/>
      <c r="M23" s="62"/>
    </row>
    <row r="24" spans="2:13">
      <c r="B24" s="19" t="s">
        <v>50</v>
      </c>
      <c r="C24" s="10"/>
      <c r="D24" s="51">
        <f>+D20/D18*1000</f>
        <v>3.4706235912847481</v>
      </c>
      <c r="E24" s="51">
        <f>+E20/E18*1000</f>
        <v>3.4430753819183573</v>
      </c>
      <c r="F24" s="67"/>
      <c r="G24" s="51">
        <f>+G20/G18*1000</f>
        <v>2.6727786426800439</v>
      </c>
      <c r="H24" s="51">
        <f>+H20/H18*1000</f>
        <v>2.6727786426800439</v>
      </c>
      <c r="I24" s="67"/>
      <c r="J24" s="100">
        <f t="shared" ref="J24" si="3">+G24/D24</f>
        <v>0.77011481434972917</v>
      </c>
      <c r="K24" s="101">
        <f t="shared" ref="K24" si="4">+G24-D24</f>
        <v>-0.79784494860470412</v>
      </c>
      <c r="L24" s="62"/>
      <c r="M24" s="62"/>
    </row>
    <row r="25" spans="2:13" ht="7.5" customHeight="1">
      <c r="B25" s="17"/>
      <c r="C25" s="39"/>
      <c r="D25" s="39"/>
      <c r="E25" s="62"/>
      <c r="F25" s="67"/>
      <c r="G25" s="40"/>
      <c r="H25" s="62"/>
      <c r="I25" s="67"/>
      <c r="J25" s="105"/>
      <c r="K25" s="62"/>
      <c r="L25" s="62"/>
      <c r="M25" s="62"/>
    </row>
    <row r="26" spans="2:13">
      <c r="B26" s="21" t="s">
        <v>47</v>
      </c>
      <c r="C26" s="41"/>
      <c r="D26" s="22">
        <f>+D8/(1-D6/D5)</f>
        <v>877.47495897863496</v>
      </c>
      <c r="E26" s="62"/>
      <c r="F26" s="68"/>
      <c r="G26" s="22">
        <f>+G8/(1-G6/G5)</f>
        <v>836.22363047808778</v>
      </c>
      <c r="H26" s="62"/>
      <c r="I26" s="68"/>
      <c r="J26" s="38">
        <f>+G26/D26</f>
        <v>0.9529885974768294</v>
      </c>
      <c r="K26" s="22">
        <f>+G26-D26</f>
        <v>-41.251328500547174</v>
      </c>
      <c r="L26" s="62"/>
      <c r="M26" s="62"/>
    </row>
    <row r="27" spans="2:13">
      <c r="F27" s="68"/>
      <c r="G27" s="12"/>
    </row>
    <row r="28" spans="2:13">
      <c r="G28" s="12"/>
    </row>
    <row r="29" spans="2:13">
      <c r="G29" s="12"/>
    </row>
    <row r="30" spans="2:13">
      <c r="G30" s="12"/>
    </row>
    <row r="31" spans="2:13">
      <c r="G31" s="12"/>
    </row>
    <row r="32" spans="2:13">
      <c r="G32" s="12"/>
    </row>
    <row r="33" spans="7:7">
      <c r="G33" s="12"/>
    </row>
    <row r="34" spans="7:7">
      <c r="G34" s="12"/>
    </row>
    <row r="35" spans="7:7">
      <c r="G35" s="12"/>
    </row>
    <row r="36" spans="7:7">
      <c r="G36" s="12"/>
    </row>
    <row r="37" spans="7:7">
      <c r="G37" s="12"/>
    </row>
    <row r="38" spans="7:7">
      <c r="G38" s="12"/>
    </row>
    <row r="39" spans="7:7">
      <c r="G39" s="12"/>
    </row>
    <row r="40" spans="7:7">
      <c r="G40" s="12"/>
    </row>
    <row r="41" spans="7:7">
      <c r="G41" s="12"/>
    </row>
    <row r="42" spans="7:7">
      <c r="G42" s="12"/>
    </row>
    <row r="43" spans="7:7">
      <c r="G43" s="12"/>
    </row>
    <row r="44" spans="7:7">
      <c r="G44" s="12"/>
    </row>
    <row r="45" spans="7:7">
      <c r="G45" s="12"/>
    </row>
    <row r="46" spans="7:7">
      <c r="G46" s="12"/>
    </row>
    <row r="47" spans="7:7">
      <c r="G47" s="12"/>
    </row>
    <row r="48" spans="7:7">
      <c r="G48" s="12"/>
    </row>
    <row r="49" spans="7:7">
      <c r="G49" s="12"/>
    </row>
    <row r="50" spans="7:7">
      <c r="G50" s="12"/>
    </row>
    <row r="51" spans="7:7">
      <c r="G51" s="12"/>
    </row>
    <row r="52" spans="7:7">
      <c r="G52" s="12"/>
    </row>
    <row r="53" spans="7:7">
      <c r="G53" s="12"/>
    </row>
    <row r="54" spans="7:7">
      <c r="G54" s="12"/>
    </row>
    <row r="55" spans="7:7">
      <c r="G55" s="12"/>
    </row>
    <row r="56" spans="7:7">
      <c r="G56" s="12"/>
    </row>
    <row r="57" spans="7:7">
      <c r="G57" s="12"/>
    </row>
    <row r="58" spans="7:7">
      <c r="G58" s="12"/>
    </row>
    <row r="59" spans="7:7">
      <c r="G59" s="12"/>
    </row>
    <row r="60" spans="7:7">
      <c r="G60" s="12"/>
    </row>
    <row r="61" spans="7:7">
      <c r="G61" s="12"/>
    </row>
    <row r="62" spans="7:7">
      <c r="G62" s="12"/>
    </row>
    <row r="63" spans="7:7">
      <c r="G63" s="12"/>
    </row>
    <row r="64" spans="7:7">
      <c r="G64" s="12"/>
    </row>
    <row r="65" spans="7:7">
      <c r="G65" s="12"/>
    </row>
    <row r="66" spans="7:7">
      <c r="G66" s="12"/>
    </row>
    <row r="67" spans="7:7">
      <c r="G67" s="12"/>
    </row>
    <row r="68" spans="7:7">
      <c r="G68" s="12"/>
    </row>
    <row r="69" spans="7:7">
      <c r="G69" s="12"/>
    </row>
    <row r="70" spans="7:7">
      <c r="G70" s="12"/>
    </row>
    <row r="71" spans="7:7">
      <c r="G71" s="12"/>
    </row>
    <row r="72" spans="7:7">
      <c r="G72" s="12"/>
    </row>
    <row r="73" spans="7:7">
      <c r="G73" s="12"/>
    </row>
    <row r="74" spans="7:7">
      <c r="G74" s="12"/>
    </row>
    <row r="75" spans="7:7">
      <c r="G75" s="12"/>
    </row>
    <row r="76" spans="7:7">
      <c r="G76" s="12"/>
    </row>
    <row r="77" spans="7:7">
      <c r="G77" s="12"/>
    </row>
    <row r="78" spans="7:7">
      <c r="G78" s="12"/>
    </row>
  </sheetData>
  <pageMargins left="0.5" right="0.70866141732283472" top="0.78740157480314965" bottom="0.78740157480314965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B1:AD78"/>
  <sheetViews>
    <sheetView workbookViewId="0">
      <pane xSplit="3" ySplit="4" topLeftCell="D5" activePane="bottomRight" state="frozen"/>
      <selection pane="topRight" activeCell="C1" sqref="C1"/>
      <selection pane="bottomLeft" activeCell="A5" sqref="A5"/>
      <selection pane="bottomRight"/>
    </sheetView>
  </sheetViews>
  <sheetFormatPr defaultRowHeight="15"/>
  <cols>
    <col min="1" max="1" width="1.7109375" customWidth="1"/>
    <col min="2" max="2" width="25.5703125" customWidth="1"/>
    <col min="3" max="3" width="1.7109375" customWidth="1"/>
    <col min="4" max="4" width="13.7109375" customWidth="1"/>
    <col min="5" max="6" width="8.7109375" customWidth="1"/>
    <col min="7" max="7" width="13.7109375" customWidth="1"/>
    <col min="8" max="9" width="8.7109375" customWidth="1"/>
    <col min="10" max="10" width="13.7109375" customWidth="1"/>
    <col min="11" max="12" width="8.7109375" customWidth="1"/>
    <col min="13" max="13" width="13.7109375" customWidth="1"/>
    <col min="14" max="15" width="8.7109375" customWidth="1"/>
    <col min="16" max="16" width="13.7109375" customWidth="1"/>
    <col min="17" max="18" width="8.7109375" customWidth="1"/>
    <col min="19" max="19" width="13.7109375" customWidth="1"/>
    <col min="20" max="21" width="8.7109375" customWidth="1"/>
    <col min="22" max="23" width="2.7109375" customWidth="1"/>
    <col min="24" max="24" width="13.7109375" customWidth="1"/>
    <col min="25" max="26" width="8.7109375" customWidth="1"/>
    <col min="27" max="27" width="13.7109375" customWidth="1"/>
    <col min="28" max="28" width="8.7109375" customWidth="1"/>
    <col min="29" max="29" width="9.28515625" customWidth="1"/>
    <col min="30" max="31" width="2.7109375" customWidth="1"/>
    <col min="32" max="32" width="13.7109375" customWidth="1"/>
    <col min="34" max="34" width="13.7109375" customWidth="1"/>
  </cols>
  <sheetData>
    <row r="1" spans="2:29" ht="15.75">
      <c r="B1" s="2" t="s">
        <v>0</v>
      </c>
      <c r="C1" s="17"/>
      <c r="D1" s="17"/>
      <c r="E1" s="17"/>
      <c r="F1" s="17"/>
      <c r="G1" s="96"/>
      <c r="H1" s="42"/>
      <c r="I1" s="42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</row>
    <row r="2" spans="2:29">
      <c r="B2" s="43" t="s">
        <v>46</v>
      </c>
      <c r="C2" s="17"/>
      <c r="D2" s="3" t="s">
        <v>2</v>
      </c>
      <c r="E2" s="44" t="s">
        <v>26</v>
      </c>
      <c r="F2" s="55" t="s">
        <v>48</v>
      </c>
      <c r="G2" s="77" t="s">
        <v>15</v>
      </c>
      <c r="H2" s="97" t="s">
        <v>26</v>
      </c>
      <c r="I2" s="55" t="s">
        <v>48</v>
      </c>
      <c r="J2" s="3" t="s">
        <v>2</v>
      </c>
      <c r="K2" s="44" t="s">
        <v>12</v>
      </c>
      <c r="L2" s="55" t="s">
        <v>48</v>
      </c>
      <c r="M2" s="3" t="s">
        <v>2</v>
      </c>
      <c r="N2" s="44" t="s">
        <v>12</v>
      </c>
      <c r="O2" s="55" t="s">
        <v>48</v>
      </c>
      <c r="P2" s="3" t="s">
        <v>2</v>
      </c>
      <c r="Q2" s="44" t="s">
        <v>12</v>
      </c>
      <c r="R2" s="55" t="s">
        <v>48</v>
      </c>
      <c r="S2" s="3" t="s">
        <v>2</v>
      </c>
      <c r="T2" s="44" t="s">
        <v>12</v>
      </c>
      <c r="U2" s="55" t="s">
        <v>48</v>
      </c>
      <c r="V2" s="55"/>
      <c r="W2" s="17"/>
      <c r="X2" s="3" t="s">
        <v>2</v>
      </c>
      <c r="Y2" s="44" t="s">
        <v>26</v>
      </c>
      <c r="Z2" s="55" t="s">
        <v>48</v>
      </c>
      <c r="AA2" s="45" t="s">
        <v>15</v>
      </c>
      <c r="AB2" s="17"/>
      <c r="AC2" s="55" t="s">
        <v>48</v>
      </c>
    </row>
    <row r="3" spans="2:29">
      <c r="B3" s="45" t="s">
        <v>1</v>
      </c>
      <c r="C3" s="17"/>
      <c r="D3" s="4" t="s">
        <v>32</v>
      </c>
      <c r="E3" s="24" t="s">
        <v>27</v>
      </c>
      <c r="F3" s="3" t="s">
        <v>49</v>
      </c>
      <c r="G3" s="79" t="s">
        <v>32</v>
      </c>
      <c r="H3" s="98" t="s">
        <v>27</v>
      </c>
      <c r="I3" s="3" t="s">
        <v>49</v>
      </c>
      <c r="J3" s="4" t="s">
        <v>33</v>
      </c>
      <c r="K3" s="24" t="s">
        <v>14</v>
      </c>
      <c r="L3" s="3" t="s">
        <v>49</v>
      </c>
      <c r="M3" s="4" t="s">
        <v>34</v>
      </c>
      <c r="N3" s="24" t="s">
        <v>14</v>
      </c>
      <c r="O3" s="3" t="s">
        <v>49</v>
      </c>
      <c r="P3" s="4" t="s">
        <v>35</v>
      </c>
      <c r="Q3" s="24" t="s">
        <v>14</v>
      </c>
      <c r="R3" s="3" t="s">
        <v>49</v>
      </c>
      <c r="S3" s="4" t="s">
        <v>36</v>
      </c>
      <c r="T3" s="24" t="s">
        <v>14</v>
      </c>
      <c r="U3" s="3" t="s">
        <v>49</v>
      </c>
      <c r="V3" s="3"/>
      <c r="W3" s="17"/>
      <c r="X3" s="4" t="s">
        <v>13</v>
      </c>
      <c r="Y3" s="24" t="s">
        <v>27</v>
      </c>
      <c r="Z3" s="3" t="s">
        <v>49</v>
      </c>
      <c r="AA3" s="45" t="s">
        <v>41</v>
      </c>
      <c r="AB3" s="24" t="s">
        <v>27</v>
      </c>
      <c r="AC3" s="3" t="s">
        <v>49</v>
      </c>
    </row>
    <row r="4" spans="2:29">
      <c r="B4" s="46">
        <v>9405</v>
      </c>
      <c r="C4" s="17"/>
      <c r="D4" s="45" t="s">
        <v>28</v>
      </c>
      <c r="E4" s="3" t="s">
        <v>29</v>
      </c>
      <c r="F4" s="3">
        <v>3</v>
      </c>
      <c r="G4" s="81" t="s">
        <v>28</v>
      </c>
      <c r="H4" s="35" t="s">
        <v>29</v>
      </c>
      <c r="I4" s="3">
        <v>3</v>
      </c>
      <c r="J4" s="17"/>
      <c r="K4" s="17"/>
      <c r="L4" s="3">
        <v>3</v>
      </c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3" t="s">
        <v>29</v>
      </c>
      <c r="Z4" s="3">
        <f>+(F4*8+L4+O4+R4+U4)/AA4</f>
        <v>3</v>
      </c>
      <c r="AA4" s="45">
        <v>9</v>
      </c>
      <c r="AB4" s="3" t="s">
        <v>29</v>
      </c>
      <c r="AC4" s="3">
        <f>+Z4</f>
        <v>3</v>
      </c>
    </row>
    <row r="5" spans="2:29">
      <c r="B5" s="10" t="s">
        <v>4</v>
      </c>
      <c r="C5" s="17"/>
      <c r="D5" s="9">
        <f>2225.858+4273.897</f>
        <v>6499.7550000000001</v>
      </c>
      <c r="E5" s="59">
        <f>+D5/$D$5</f>
        <v>1</v>
      </c>
      <c r="F5" s="109">
        <f>+D5/F4</f>
        <v>2166.585</v>
      </c>
      <c r="G5" s="82">
        <f>+D5/8</f>
        <v>812.46937500000001</v>
      </c>
      <c r="H5" s="69">
        <f>+G5/$G$5</f>
        <v>1</v>
      </c>
      <c r="I5" s="109">
        <f>+G5/I4</f>
        <v>270.823125</v>
      </c>
      <c r="J5" s="9">
        <v>884.96600000000001</v>
      </c>
      <c r="K5" s="59">
        <f>+J5/$J$5</f>
        <v>1</v>
      </c>
      <c r="L5" s="109">
        <f>+J5/L4</f>
        <v>294.98866666666669</v>
      </c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31">
        <f>+D5+J5+M5+P5+S5</f>
        <v>7384.7210000000005</v>
      </c>
      <c r="Y5" s="69">
        <f>+X5/$X$5</f>
        <v>1</v>
      </c>
      <c r="Z5" s="109">
        <f>+X5/Z4</f>
        <v>2461.5736666666667</v>
      </c>
      <c r="AA5" s="31">
        <f>+X5/$AA$4</f>
        <v>820.52455555555559</v>
      </c>
      <c r="AB5" s="62"/>
      <c r="AC5" s="109">
        <f>+AA5/AC4</f>
        <v>273.5081851851852</v>
      </c>
    </row>
    <row r="6" spans="2:29">
      <c r="B6" s="7" t="s">
        <v>5</v>
      </c>
      <c r="C6" s="17"/>
      <c r="D6" s="11">
        <v>2021.499</v>
      </c>
      <c r="E6" s="60">
        <f>+D6/$D$5</f>
        <v>0.3110115688975969</v>
      </c>
      <c r="F6" s="110">
        <f>+D6/F4</f>
        <v>673.83299999999997</v>
      </c>
      <c r="G6" s="83">
        <f>+D6/8</f>
        <v>252.687375</v>
      </c>
      <c r="H6" s="70">
        <f>+G6/$G$5</f>
        <v>0.3110115688975969</v>
      </c>
      <c r="I6" s="110">
        <f>+G6/I4</f>
        <v>84.229124999999996</v>
      </c>
      <c r="J6" s="11">
        <v>276.91699999999997</v>
      </c>
      <c r="K6" s="60">
        <f>+J6/$J$5</f>
        <v>0.31291258647224862</v>
      </c>
      <c r="L6" s="110">
        <f>+J6/L4</f>
        <v>92.305666666666653</v>
      </c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4">
        <f>+D6+J6+M6+P6+S6</f>
        <v>2298.4160000000002</v>
      </c>
      <c r="Y6" s="70">
        <f>+X6/$X$5</f>
        <v>0.31123938196175588</v>
      </c>
      <c r="Z6" s="110">
        <f>+X6/Z4</f>
        <v>766.13866666666672</v>
      </c>
      <c r="AA6" s="14">
        <f t="shared" ref="AA6:AA9" si="0">+X6/$AA$4</f>
        <v>255.37955555555558</v>
      </c>
      <c r="AB6" s="62"/>
      <c r="AC6" s="110">
        <f>+AA6/AC4</f>
        <v>85.126518518518523</v>
      </c>
    </row>
    <row r="7" spans="2:29">
      <c r="B7" s="10" t="s">
        <v>8</v>
      </c>
      <c r="C7" s="17"/>
      <c r="D7" s="8">
        <f>+D5-D6</f>
        <v>4478.2560000000003</v>
      </c>
      <c r="E7" s="61">
        <f>+D7/$D$5</f>
        <v>0.68898843110240315</v>
      </c>
      <c r="F7" s="111">
        <f>+F5-F6</f>
        <v>1492.752</v>
      </c>
      <c r="G7" s="82">
        <f>+D7/8</f>
        <v>559.78200000000004</v>
      </c>
      <c r="H7" s="70">
        <f>+G7/$G$5</f>
        <v>0.68898843110240315</v>
      </c>
      <c r="I7" s="111">
        <f>+I5-I6</f>
        <v>186.59399999999999</v>
      </c>
      <c r="J7" s="8">
        <f>+J5-J6</f>
        <v>608.04899999999998</v>
      </c>
      <c r="K7" s="61">
        <f>+J7/$J$5</f>
        <v>0.68708741352775127</v>
      </c>
      <c r="L7" s="111">
        <f>+L5-L6</f>
        <v>202.68300000000005</v>
      </c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3">
        <f>+D7+J7+M7+P7+S7</f>
        <v>5086.3050000000003</v>
      </c>
      <c r="Y7" s="70">
        <f>+X7/$X$5</f>
        <v>0.68876061803824407</v>
      </c>
      <c r="Z7" s="111">
        <f>+Z5-Z6</f>
        <v>1695.4349999999999</v>
      </c>
      <c r="AA7" s="13">
        <f t="shared" si="0"/>
        <v>565.14499999999998</v>
      </c>
      <c r="AB7" s="62"/>
      <c r="AC7" s="111">
        <f>+AC5-AC6</f>
        <v>188.38166666666666</v>
      </c>
    </row>
    <row r="8" spans="2:29">
      <c r="B8" s="7" t="s">
        <v>6</v>
      </c>
      <c r="C8" s="17"/>
      <c r="D8" s="11">
        <f>2302.0256+2329.982</f>
        <v>4632.0075999999999</v>
      </c>
      <c r="E8" s="60">
        <f>+D8/$D$5</f>
        <v>0.71264341502102768</v>
      </c>
      <c r="F8" s="110">
        <f>+D8/F4</f>
        <v>1544.0025333333333</v>
      </c>
      <c r="G8" s="83">
        <f>+D8/8</f>
        <v>579.00094999999999</v>
      </c>
      <c r="H8" s="70">
        <f>+G8/$G$5</f>
        <v>0.71264341502102768</v>
      </c>
      <c r="I8" s="110">
        <f>+G8/I4</f>
        <v>193.00031666666666</v>
      </c>
      <c r="J8" s="11">
        <f>320.788+282.114</f>
        <v>602.90200000000004</v>
      </c>
      <c r="K8" s="60">
        <f>+J8/$J$5</f>
        <v>0.68127137087752532</v>
      </c>
      <c r="L8" s="110">
        <f>+J8/L4</f>
        <v>200.96733333333336</v>
      </c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4">
        <f>+D8+J8+M8+P8+S8</f>
        <v>5234.9096</v>
      </c>
      <c r="Y8" s="70">
        <f>+X8/$X$5</f>
        <v>0.70888386981715346</v>
      </c>
      <c r="Z8" s="110">
        <f>+X8/Z4</f>
        <v>1744.9698666666666</v>
      </c>
      <c r="AA8" s="14">
        <f t="shared" si="0"/>
        <v>581.65662222222227</v>
      </c>
      <c r="AB8" s="62"/>
      <c r="AC8" s="110">
        <f>+AA8/AC4</f>
        <v>193.88554074074077</v>
      </c>
    </row>
    <row r="9" spans="2:29">
      <c r="B9" s="19" t="s">
        <v>16</v>
      </c>
      <c r="C9" s="17"/>
      <c r="D9" s="15">
        <f>+D5-D6-D8</f>
        <v>-153.7515999999996</v>
      </c>
      <c r="E9" s="59">
        <f>+D9/$D$5</f>
        <v>-2.3654983918624563E-2</v>
      </c>
      <c r="F9" s="15">
        <f>+F5-F6-F8</f>
        <v>-51.250533333333351</v>
      </c>
      <c r="G9" s="84">
        <f>+D9/8</f>
        <v>-19.21894999999995</v>
      </c>
      <c r="H9" s="69">
        <f>+G9/$G$5</f>
        <v>-2.3654983918624563E-2</v>
      </c>
      <c r="I9" s="15">
        <f>+I5-I6-I8</f>
        <v>-6.4063166666666689</v>
      </c>
      <c r="J9" s="15">
        <f>+J5-J6-J8</f>
        <v>5.1469999999999345</v>
      </c>
      <c r="K9" s="59">
        <f>+J9/$J$5</f>
        <v>5.8160426502260366E-3</v>
      </c>
      <c r="L9" s="15">
        <f>+L5-L6-L8</f>
        <v>1.7156666666666922</v>
      </c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6">
        <f>+D9+J9+M9+P9+S9</f>
        <v>-148.60459999999966</v>
      </c>
      <c r="Y9" s="69">
        <f>+X9/$X$5</f>
        <v>-2.0123251778909407E-2</v>
      </c>
      <c r="Z9" s="15">
        <f>+Z5-Z6-Z8</f>
        <v>-49.53486666666663</v>
      </c>
      <c r="AA9" s="30">
        <f t="shared" si="0"/>
        <v>-16.511622222222186</v>
      </c>
      <c r="AB9" s="62"/>
      <c r="AC9" s="15">
        <f>+AC5-AC6-AC8</f>
        <v>-5.5038740740741048</v>
      </c>
    </row>
    <row r="10" spans="2:29" ht="7.5" customHeight="1">
      <c r="B10" s="17"/>
      <c r="C10" s="17"/>
      <c r="D10" s="33"/>
      <c r="E10" s="62"/>
      <c r="F10" s="62"/>
      <c r="G10" s="85"/>
      <c r="H10" s="86"/>
      <c r="I10" s="62"/>
      <c r="J10" s="17"/>
      <c r="K10" s="62"/>
      <c r="L10" s="62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71"/>
      <c r="Z10" s="62"/>
      <c r="AA10" s="17"/>
      <c r="AB10" s="62"/>
      <c r="AC10" s="62"/>
    </row>
    <row r="11" spans="2:29">
      <c r="B11" s="18" t="s">
        <v>20</v>
      </c>
      <c r="C11" s="17"/>
      <c r="D11" s="33">
        <v>5.98</v>
      </c>
      <c r="E11" s="62"/>
      <c r="F11" s="110">
        <f>+D11/F4</f>
        <v>1.9933333333333334</v>
      </c>
      <c r="G11" s="108">
        <v>5.98</v>
      </c>
      <c r="H11" s="86"/>
      <c r="I11" s="110">
        <f>+G11/I4</f>
        <v>1.9933333333333334</v>
      </c>
      <c r="J11" s="33">
        <v>5.98</v>
      </c>
      <c r="K11" s="62"/>
      <c r="L11" s="110">
        <f>+J11/L4</f>
        <v>1.9933333333333334</v>
      </c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4">
        <f>+(J11+G11*8)/AA4</f>
        <v>5.98</v>
      </c>
      <c r="Y11" s="62"/>
      <c r="Z11" s="110">
        <f>+X11/Z4</f>
        <v>1.9933333333333334</v>
      </c>
      <c r="AA11" s="29">
        <f>+X11</f>
        <v>5.98</v>
      </c>
      <c r="AB11" s="62"/>
      <c r="AC11" s="110">
        <f>+AA11/AC4</f>
        <v>1.9933333333333334</v>
      </c>
    </row>
    <row r="12" spans="2:29">
      <c r="B12" s="18" t="s">
        <v>17</v>
      </c>
      <c r="C12" s="17"/>
      <c r="D12" s="33">
        <v>2329.982</v>
      </c>
      <c r="E12" s="62"/>
      <c r="F12" s="110">
        <f>+D12/F4</f>
        <v>776.66066666666666</v>
      </c>
      <c r="G12" s="83">
        <f>+D12/8</f>
        <v>291.24775</v>
      </c>
      <c r="H12" s="86"/>
      <c r="I12" s="110">
        <f>+G12/I4</f>
        <v>97.082583333333332</v>
      </c>
      <c r="J12" s="33">
        <v>282.11399999999998</v>
      </c>
      <c r="K12" s="62"/>
      <c r="L12" s="110">
        <f>+J12/L4</f>
        <v>94.037999999999997</v>
      </c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4">
        <f>+D12+J12+M12+P12+S12</f>
        <v>2612.096</v>
      </c>
      <c r="Y12" s="62"/>
      <c r="Z12" s="110">
        <f>+X12/Z4</f>
        <v>870.69866666666667</v>
      </c>
      <c r="AA12" s="14">
        <f t="shared" ref="AA12" si="1">+X12/$AA$4</f>
        <v>290.23288888888891</v>
      </c>
      <c r="AB12" s="62"/>
      <c r="AC12" s="110">
        <f>+AA12/AC4</f>
        <v>96.744296296296298</v>
      </c>
    </row>
    <row r="13" spans="2:29">
      <c r="B13" s="19" t="s">
        <v>22</v>
      </c>
      <c r="C13" s="17"/>
      <c r="D13" s="34">
        <f>+D12/D5</f>
        <v>0.35847228087827926</v>
      </c>
      <c r="E13" s="62"/>
      <c r="F13" s="34"/>
      <c r="G13" s="87">
        <f>+G12/G5</f>
        <v>0.35847228087827926</v>
      </c>
      <c r="H13" s="86"/>
      <c r="I13" s="34"/>
      <c r="J13" s="34">
        <f>+J12/J5</f>
        <v>0.31878512846821233</v>
      </c>
      <c r="K13" s="62"/>
      <c r="L13" s="34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36">
        <f>+X12/X5</f>
        <v>0.35371627445369974</v>
      </c>
      <c r="Y13" s="62"/>
      <c r="Z13" s="34"/>
      <c r="AA13" s="36">
        <f>+AA12/AA5</f>
        <v>0.35371627445369974</v>
      </c>
      <c r="AB13" s="62"/>
      <c r="AC13" s="34"/>
    </row>
    <row r="14" spans="2:29">
      <c r="B14" s="19" t="s">
        <v>18</v>
      </c>
      <c r="C14" s="17"/>
      <c r="D14" s="8">
        <f>+D5/D11</f>
        <v>1086.9155518394648</v>
      </c>
      <c r="E14" s="62"/>
      <c r="F14" s="8"/>
      <c r="G14" s="88">
        <f>+G5/G11</f>
        <v>135.8644439799331</v>
      </c>
      <c r="H14" s="86"/>
      <c r="I14" s="8"/>
      <c r="J14" s="8">
        <f>+J5/J11</f>
        <v>147.98762541806019</v>
      </c>
      <c r="K14" s="62"/>
      <c r="L14" s="8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37">
        <f>+X5/X11</f>
        <v>1234.9031772575252</v>
      </c>
      <c r="Y14" s="62"/>
      <c r="Z14" s="8"/>
      <c r="AA14" s="37">
        <f>+AA5/AA11</f>
        <v>137.211464139725</v>
      </c>
      <c r="AB14" s="62"/>
      <c r="AC14" s="8"/>
    </row>
    <row r="15" spans="2:29">
      <c r="B15" s="10" t="s">
        <v>45</v>
      </c>
      <c r="C15" s="17"/>
      <c r="D15" s="8">
        <f>+D12/D11</f>
        <v>389.62909698996651</v>
      </c>
      <c r="E15" s="62"/>
      <c r="F15" s="8"/>
      <c r="G15" s="88">
        <f>+G12/G11</f>
        <v>48.703637123745814</v>
      </c>
      <c r="H15" s="86"/>
      <c r="I15" s="8"/>
      <c r="J15" s="8">
        <f>+J12/J11</f>
        <v>47.176254180602001</v>
      </c>
      <c r="K15" s="62"/>
      <c r="L15" s="8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37">
        <f>+X12/X11</f>
        <v>436.80535117056854</v>
      </c>
      <c r="Y15" s="62"/>
      <c r="Z15" s="8"/>
      <c r="AA15" s="37">
        <f>+AA12/AA11</f>
        <v>48.533927907840948</v>
      </c>
      <c r="AB15" s="62"/>
      <c r="AC15" s="8"/>
    </row>
    <row r="16" spans="2:29">
      <c r="B16" s="19" t="s">
        <v>23</v>
      </c>
      <c r="C16" s="17"/>
      <c r="D16" s="34">
        <f>+D12/D7</f>
        <v>0.52028780846829659</v>
      </c>
      <c r="E16" s="62"/>
      <c r="F16" s="34"/>
      <c r="G16" s="87">
        <f>+G12/G7</f>
        <v>0.52028780846829659</v>
      </c>
      <c r="H16" s="86"/>
      <c r="I16" s="34"/>
      <c r="J16" s="34">
        <f>+J12/J7</f>
        <v>0.46396589748523553</v>
      </c>
      <c r="K16" s="62"/>
      <c r="L16" s="34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36">
        <f>+X12/X7</f>
        <v>0.51355473177483457</v>
      </c>
      <c r="Y16" s="62"/>
      <c r="Z16" s="34"/>
      <c r="AA16" s="36">
        <f>+AA12/AA7</f>
        <v>0.51355473177483468</v>
      </c>
      <c r="AB16" s="62"/>
      <c r="AC16" s="34"/>
    </row>
    <row r="17" spans="2:30" ht="7.5" customHeight="1">
      <c r="B17" s="7"/>
      <c r="C17" s="17"/>
      <c r="D17" s="33"/>
      <c r="E17" s="62"/>
      <c r="F17" s="62"/>
      <c r="G17" s="85"/>
      <c r="H17" s="86"/>
      <c r="I17" s="62"/>
      <c r="J17" s="33"/>
      <c r="K17" s="62"/>
      <c r="L17" s="62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62"/>
      <c r="Z17" s="62"/>
      <c r="AA17" s="17"/>
      <c r="AB17" s="62"/>
      <c r="AC17" s="62"/>
    </row>
    <row r="18" spans="2:30">
      <c r="B18" s="18" t="s">
        <v>25</v>
      </c>
      <c r="C18" s="17"/>
      <c r="D18" s="11">
        <v>327136</v>
      </c>
      <c r="E18" s="63">
        <v>327136</v>
      </c>
      <c r="F18" s="72">
        <f>+D18/F4</f>
        <v>109045.33333333333</v>
      </c>
      <c r="G18" s="83">
        <f t="shared" ref="G18:H20" si="2">+D18/8</f>
        <v>40892</v>
      </c>
      <c r="H18" s="89">
        <f t="shared" si="2"/>
        <v>40892</v>
      </c>
      <c r="I18" s="72">
        <f>+G18/I4</f>
        <v>13630.666666666666</v>
      </c>
      <c r="J18" s="11">
        <v>39930</v>
      </c>
      <c r="K18" s="63">
        <v>39930</v>
      </c>
      <c r="L18" s="72">
        <f>+J18/L4</f>
        <v>13310</v>
      </c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4">
        <f>+D18+J18+M18+P18+S18</f>
        <v>367066</v>
      </c>
      <c r="Y18" s="72">
        <f>+E18+K18+N18+Q18</f>
        <v>367066</v>
      </c>
      <c r="Z18" s="72">
        <f>+X18/Z4</f>
        <v>122355.33333333333</v>
      </c>
      <c r="AA18" s="14">
        <f t="shared" ref="AA18:AB20" si="3">+X18/$AA$4</f>
        <v>40785.111111111109</v>
      </c>
      <c r="AB18" s="72">
        <f t="shared" si="3"/>
        <v>40785.111111111109</v>
      </c>
      <c r="AC18" s="72">
        <f>+AA18/AC4</f>
        <v>13595.037037037036</v>
      </c>
      <c r="AD18" s="72"/>
    </row>
    <row r="19" spans="2:30">
      <c r="B19" s="18" t="s">
        <v>44</v>
      </c>
      <c r="C19" s="17"/>
      <c r="D19" s="11">
        <v>29727</v>
      </c>
      <c r="E19" s="64">
        <v>29727</v>
      </c>
      <c r="F19" s="72">
        <f>+D19/F4</f>
        <v>9909</v>
      </c>
      <c r="G19" s="83">
        <f t="shared" si="2"/>
        <v>3715.875</v>
      </c>
      <c r="H19" s="89">
        <f t="shared" si="2"/>
        <v>3715.875</v>
      </c>
      <c r="I19" s="72">
        <f>+G19/I4</f>
        <v>1238.625</v>
      </c>
      <c r="J19" s="11">
        <v>3659</v>
      </c>
      <c r="K19" s="64">
        <v>3657</v>
      </c>
      <c r="L19" s="72">
        <f>+J19/L4</f>
        <v>1219.6666666666667</v>
      </c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4">
        <f>+D19+J19+M19+P19+S19</f>
        <v>33386</v>
      </c>
      <c r="Y19" s="72">
        <f>+E19+K19+N19+Q19</f>
        <v>33384</v>
      </c>
      <c r="Z19" s="72">
        <f>+X19/Z4</f>
        <v>11128.666666666666</v>
      </c>
      <c r="AA19" s="14">
        <f t="shared" si="3"/>
        <v>3709.5555555555557</v>
      </c>
      <c r="AB19" s="72">
        <f t="shared" si="3"/>
        <v>3709.3333333333335</v>
      </c>
      <c r="AC19" s="72">
        <f>+AA19/AC4</f>
        <v>1236.5185185185185</v>
      </c>
      <c r="AD19" s="72"/>
    </row>
    <row r="20" spans="2:30">
      <c r="B20" s="18" t="s">
        <v>30</v>
      </c>
      <c r="C20" s="17"/>
      <c r="D20" s="11">
        <v>1070.17</v>
      </c>
      <c r="E20" s="11">
        <v>1082.953</v>
      </c>
      <c r="F20" s="72">
        <f>+D20/F4</f>
        <v>356.72333333333336</v>
      </c>
      <c r="G20" s="83">
        <f t="shared" si="2"/>
        <v>133.77125000000001</v>
      </c>
      <c r="H20" s="89">
        <f t="shared" si="2"/>
        <v>135.369125</v>
      </c>
      <c r="I20" s="72">
        <f>+G20/I4</f>
        <v>44.59041666666667</v>
      </c>
      <c r="J20" s="11">
        <v>138.58199999999999</v>
      </c>
      <c r="K20" s="11">
        <v>137.482</v>
      </c>
      <c r="L20" s="72">
        <f>+J20/L4</f>
        <v>46.193999999999996</v>
      </c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4">
        <f>+D20+J20+M20+P20+S20</f>
        <v>1208.752</v>
      </c>
      <c r="Y20" s="72">
        <f>+E20+K20+N20+Q20</f>
        <v>1220.4349999999999</v>
      </c>
      <c r="Z20" s="72">
        <f>+X20/Z4</f>
        <v>402.91733333333332</v>
      </c>
      <c r="AA20" s="14">
        <f t="shared" si="3"/>
        <v>134.30577777777776</v>
      </c>
      <c r="AB20" s="72">
        <f t="shared" si="3"/>
        <v>135.60388888888889</v>
      </c>
      <c r="AC20" s="72">
        <f>+AA20/AC4</f>
        <v>44.76859259259259</v>
      </c>
      <c r="AD20" s="72"/>
    </row>
    <row r="21" spans="2:30">
      <c r="B21" s="19" t="s">
        <v>21</v>
      </c>
      <c r="C21" s="17"/>
      <c r="D21" s="47">
        <f t="shared" ref="D21:K21" si="4">+D20/D19*1000</f>
        <v>35.999932721095298</v>
      </c>
      <c r="E21" s="65">
        <f t="shared" si="4"/>
        <v>36.429945840481714</v>
      </c>
      <c r="F21" s="65"/>
      <c r="G21" s="90">
        <f t="shared" si="4"/>
        <v>35.999932721095298</v>
      </c>
      <c r="H21" s="73">
        <f t="shared" si="4"/>
        <v>36.429945840481714</v>
      </c>
      <c r="I21" s="65"/>
      <c r="J21" s="47">
        <f t="shared" si="4"/>
        <v>37.874282590871822</v>
      </c>
      <c r="K21" s="65">
        <f t="shared" si="4"/>
        <v>37.594202898550726</v>
      </c>
      <c r="L21" s="65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48">
        <f>+X20/X19*1000</f>
        <v>36.205355538249563</v>
      </c>
      <c r="Y21" s="73">
        <f>+Y20/Y19*1000</f>
        <v>36.557482626407861</v>
      </c>
      <c r="Z21" s="65"/>
      <c r="AA21" s="48">
        <f>+AA20/AA19*1000</f>
        <v>36.205355538249556</v>
      </c>
      <c r="AB21" s="73">
        <f>+AB20/AB19*1000</f>
        <v>36.557482626407861</v>
      </c>
      <c r="AC21" s="65"/>
    </row>
    <row r="22" spans="2:30">
      <c r="B22" s="19" t="s">
        <v>24</v>
      </c>
      <c r="C22" s="17"/>
      <c r="D22" s="49">
        <f>+D19/D18</f>
        <v>9.0870463660373671E-2</v>
      </c>
      <c r="E22" s="49">
        <f>+E19/E18</f>
        <v>9.0870463660373671E-2</v>
      </c>
      <c r="F22" s="66"/>
      <c r="G22" s="91">
        <f>+G19/G18</f>
        <v>9.0870463660373671E-2</v>
      </c>
      <c r="H22" s="49">
        <f>+H19/H18</f>
        <v>9.0870463660373671E-2</v>
      </c>
      <c r="I22" s="66"/>
      <c r="J22" s="49">
        <f>+J19/J18</f>
        <v>9.1635361883295768E-2</v>
      </c>
      <c r="K22" s="49">
        <f>+K19/K18</f>
        <v>9.1585274229902328E-2</v>
      </c>
      <c r="L22" s="66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50">
        <f>+X19/X18</f>
        <v>9.095367045708401E-2</v>
      </c>
      <c r="Y22" s="49">
        <f>+Y19/Y18</f>
        <v>9.0948221845662633E-2</v>
      </c>
      <c r="Z22" s="66"/>
      <c r="AA22" s="50">
        <f>+AA19/AA18</f>
        <v>9.0953670457084024E-2</v>
      </c>
      <c r="AB22" s="49">
        <f>+AB19/AB18</f>
        <v>9.0948221845662647E-2</v>
      </c>
      <c r="AC22" s="66"/>
    </row>
    <row r="23" spans="2:30">
      <c r="B23" s="10" t="s">
        <v>31</v>
      </c>
      <c r="C23" s="10"/>
      <c r="D23" s="51">
        <f>+D20*1000/(D18*D21)*100</f>
        <v>9.0870463660373666</v>
      </c>
      <c r="E23" s="51">
        <f>+E20*1000/(E18*E21)*100</f>
        <v>9.0870463660373666</v>
      </c>
      <c r="F23" s="67"/>
      <c r="G23" s="92">
        <f>+G20/(G18*G21)*1000*100</f>
        <v>9.0870463660373666</v>
      </c>
      <c r="H23" s="51">
        <f>+H20*1000/(H18*H21)*100</f>
        <v>9.0870463660373666</v>
      </c>
      <c r="I23" s="67"/>
      <c r="J23" s="51">
        <f>+J20*1000/(J18*J21)*100</f>
        <v>9.1635361883295765</v>
      </c>
      <c r="K23" s="51">
        <f>+K20*1000/(K18*K21)*100</f>
        <v>9.1585274229902307</v>
      </c>
      <c r="L23" s="6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52">
        <f>+X20/(X18*X21)*1000*100</f>
        <v>9.0953670457084002</v>
      </c>
      <c r="Y23" s="51">
        <f>+Y20*1000/(Y18*Y21)*100</f>
        <v>9.0948221845662633</v>
      </c>
      <c r="Z23" s="67"/>
      <c r="AA23" s="52">
        <f>+AA20/(AA18*AA21)*1000*100</f>
        <v>9.0953670457084019</v>
      </c>
      <c r="AB23" s="51">
        <f>+AB20*1000/(AB18*AB21)*100</f>
        <v>9.0948221845662633</v>
      </c>
      <c r="AC23" s="67"/>
    </row>
    <row r="24" spans="2:30">
      <c r="B24" s="19" t="s">
        <v>50</v>
      </c>
      <c r="C24" s="10"/>
      <c r="D24" s="51">
        <f>+D20/D18*1000</f>
        <v>3.2713305781081874</v>
      </c>
      <c r="E24" s="51">
        <f>+E20/E18*1000</f>
        <v>3.3104060696468749</v>
      </c>
      <c r="F24" s="112"/>
      <c r="G24" s="51">
        <f>+G20/G18*1000</f>
        <v>3.2713305781081874</v>
      </c>
      <c r="H24" s="51">
        <f>+H20/H18*1000</f>
        <v>3.3104060696468749</v>
      </c>
      <c r="I24" s="74"/>
      <c r="J24" s="51">
        <f>+J20/J18*1000</f>
        <v>3.4706235912847481</v>
      </c>
      <c r="K24" s="51">
        <f>+K20/K18*1000</f>
        <v>3.4430753819183573</v>
      </c>
      <c r="L24" s="74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51">
        <f>+X20/X18*1000</f>
        <v>3.2930099764075127</v>
      </c>
      <c r="Y24" s="51">
        <f>+Y20/Y18*1000</f>
        <v>3.3248380400254995</v>
      </c>
      <c r="Z24" s="74"/>
      <c r="AA24" s="51">
        <f>+AA20/AA18*1000</f>
        <v>3.2930099764075127</v>
      </c>
      <c r="AB24" s="51">
        <f>+AB20/AB18*1000</f>
        <v>3.3248380400254995</v>
      </c>
      <c r="AC24" s="74"/>
    </row>
    <row r="25" spans="2:30" ht="7.5" customHeight="1">
      <c r="B25" s="17"/>
      <c r="E25" s="68"/>
      <c r="F25" s="67"/>
      <c r="G25" s="93"/>
      <c r="H25" s="94"/>
      <c r="I25" s="94"/>
      <c r="K25" s="68"/>
      <c r="L25" s="94"/>
      <c r="Y25" s="68"/>
      <c r="Z25" s="68"/>
      <c r="AB25" s="68"/>
    </row>
    <row r="26" spans="2:30">
      <c r="B26" s="21" t="s">
        <v>47</v>
      </c>
      <c r="C26" s="20"/>
      <c r="D26" s="22">
        <f>+D8/(1-D6/D5)</f>
        <v>6722.9105611956984</v>
      </c>
      <c r="E26" s="68"/>
      <c r="F26" s="68"/>
      <c r="G26" s="95">
        <f>+G8/(1-G6/G5)</f>
        <v>840.3638201494623</v>
      </c>
      <c r="H26" s="94"/>
      <c r="I26" s="94"/>
      <c r="J26" s="22">
        <f>+J8/(1-J6/J5)</f>
        <v>877.47495897863496</v>
      </c>
      <c r="K26" s="68"/>
      <c r="L26" s="94"/>
      <c r="X26" s="32">
        <f>+X8/(1-X6/X5)</f>
        <v>7600.4775286227614</v>
      </c>
      <c r="Y26" s="75"/>
      <c r="Z26" s="75"/>
      <c r="AA26" s="32">
        <f>+AA8/(1-AA6/AA5)</f>
        <v>844.49750318030704</v>
      </c>
      <c r="AB26" s="75"/>
    </row>
    <row r="27" spans="2:30">
      <c r="G27" s="12"/>
    </row>
    <row r="28" spans="2:30">
      <c r="G28" s="12"/>
    </row>
    <row r="29" spans="2:30">
      <c r="G29" s="12"/>
    </row>
    <row r="30" spans="2:30">
      <c r="G30" s="12"/>
    </row>
    <row r="31" spans="2:30">
      <c r="G31" s="12"/>
    </row>
    <row r="32" spans="2:30">
      <c r="G32" s="12"/>
    </row>
    <row r="33" spans="7:7">
      <c r="G33" s="12"/>
    </row>
    <row r="34" spans="7:7">
      <c r="G34" s="12"/>
    </row>
    <row r="35" spans="7:7">
      <c r="G35" s="12"/>
    </row>
    <row r="36" spans="7:7">
      <c r="G36" s="12"/>
    </row>
    <row r="37" spans="7:7">
      <c r="G37" s="12"/>
    </row>
    <row r="38" spans="7:7">
      <c r="G38" s="12"/>
    </row>
    <row r="39" spans="7:7">
      <c r="G39" s="12"/>
    </row>
    <row r="40" spans="7:7">
      <c r="G40" s="12"/>
    </row>
    <row r="41" spans="7:7">
      <c r="G41" s="12"/>
    </row>
    <row r="42" spans="7:7">
      <c r="G42" s="12"/>
    </row>
    <row r="43" spans="7:7">
      <c r="G43" s="12"/>
    </row>
    <row r="44" spans="7:7">
      <c r="G44" s="12"/>
    </row>
    <row r="45" spans="7:7">
      <c r="G45" s="12"/>
    </row>
    <row r="46" spans="7:7">
      <c r="G46" s="12"/>
    </row>
    <row r="47" spans="7:7">
      <c r="G47" s="12"/>
    </row>
    <row r="48" spans="7:7">
      <c r="G48" s="12"/>
    </row>
    <row r="49" spans="7:7">
      <c r="G49" s="12"/>
    </row>
    <row r="50" spans="7:7">
      <c r="G50" s="12"/>
    </row>
    <row r="51" spans="7:7">
      <c r="G51" s="12"/>
    </row>
    <row r="52" spans="7:7">
      <c r="G52" s="12"/>
    </row>
    <row r="53" spans="7:7">
      <c r="G53" s="12"/>
    </row>
    <row r="54" spans="7:7">
      <c r="G54" s="12"/>
    </row>
    <row r="55" spans="7:7">
      <c r="G55" s="12"/>
    </row>
    <row r="56" spans="7:7">
      <c r="G56" s="12"/>
    </row>
    <row r="57" spans="7:7">
      <c r="G57" s="12"/>
    </row>
    <row r="58" spans="7:7">
      <c r="G58" s="12"/>
    </row>
    <row r="59" spans="7:7">
      <c r="G59" s="12"/>
    </row>
    <row r="60" spans="7:7">
      <c r="G60" s="12"/>
    </row>
    <row r="61" spans="7:7">
      <c r="G61" s="12"/>
    </row>
    <row r="62" spans="7:7">
      <c r="G62" s="12"/>
    </row>
    <row r="63" spans="7:7">
      <c r="G63" s="12"/>
    </row>
    <row r="64" spans="7:7">
      <c r="G64" s="12"/>
    </row>
    <row r="65" spans="7:7">
      <c r="G65" s="12"/>
    </row>
    <row r="66" spans="7:7">
      <c r="G66" s="12"/>
    </row>
    <row r="67" spans="7:7">
      <c r="G67" s="12"/>
    </row>
    <row r="68" spans="7:7">
      <c r="G68" s="12"/>
    </row>
    <row r="69" spans="7:7">
      <c r="G69" s="12"/>
    </row>
    <row r="70" spans="7:7">
      <c r="G70" s="12"/>
    </row>
    <row r="71" spans="7:7">
      <c r="G71" s="12"/>
    </row>
    <row r="72" spans="7:7">
      <c r="G72" s="12"/>
    </row>
    <row r="73" spans="7:7">
      <c r="G73" s="12"/>
    </row>
    <row r="74" spans="7:7">
      <c r="G74" s="12"/>
    </row>
    <row r="75" spans="7:7">
      <c r="G75" s="12"/>
    </row>
    <row r="76" spans="7:7">
      <c r="G76" s="12"/>
    </row>
    <row r="77" spans="7:7">
      <c r="G77" s="12"/>
    </row>
    <row r="78" spans="7:7">
      <c r="G78" s="12"/>
    </row>
  </sheetData>
  <pageMargins left="0.15748031496062992" right="0.15748031496062992" top="0.62992125984251968" bottom="0.78740157480314965" header="0.31496062992125984" footer="0.31496062992125984"/>
  <pageSetup paperSize="9" scale="7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B1:AC78"/>
  <sheetViews>
    <sheetView workbookViewId="0">
      <pane xSplit="3" ySplit="4" topLeftCell="D5" activePane="bottomRight" state="frozen"/>
      <selection pane="topRight" activeCell="C1" sqref="C1"/>
      <selection pane="bottomLeft" activeCell="A5" sqref="A5"/>
      <selection pane="bottomRight" activeCell="A4" sqref="A4"/>
    </sheetView>
  </sheetViews>
  <sheetFormatPr defaultRowHeight="15"/>
  <cols>
    <col min="1" max="1" width="1.7109375" customWidth="1"/>
    <col min="2" max="2" width="25.5703125" customWidth="1"/>
    <col min="3" max="3" width="1.7109375" customWidth="1"/>
    <col min="4" max="4" width="13.7109375" customWidth="1"/>
    <col min="5" max="6" width="8.7109375" customWidth="1"/>
    <col min="7" max="7" width="13.7109375" customWidth="1"/>
    <col min="8" max="9" width="8.7109375" customWidth="1"/>
    <col min="10" max="10" width="13.7109375" customWidth="1"/>
    <col min="11" max="12" width="8.7109375" customWidth="1"/>
    <col min="13" max="13" width="13.7109375" customWidth="1"/>
    <col min="14" max="15" width="8.7109375" customWidth="1"/>
    <col min="16" max="16" width="13.7109375" customWidth="1"/>
    <col min="17" max="18" width="8.7109375" customWidth="1"/>
    <col min="19" max="19" width="13.7109375" customWidth="1"/>
    <col min="20" max="21" width="8.7109375" customWidth="1"/>
    <col min="22" max="23" width="2.7109375" customWidth="1"/>
    <col min="24" max="24" width="13.7109375" customWidth="1"/>
    <col min="25" max="26" width="8.7109375" customWidth="1"/>
    <col min="27" max="27" width="13.7109375" customWidth="1"/>
    <col min="28" max="28" width="8.7109375" customWidth="1"/>
    <col min="29" max="29" width="9.28515625" customWidth="1"/>
    <col min="30" max="31" width="2.7109375" customWidth="1"/>
    <col min="32" max="32" width="13.7109375" customWidth="1"/>
    <col min="34" max="34" width="13.7109375" customWidth="1"/>
  </cols>
  <sheetData>
    <row r="1" spans="2:29" ht="15.75">
      <c r="B1" s="2" t="s">
        <v>0</v>
      </c>
      <c r="C1" s="53"/>
      <c r="D1" s="53"/>
      <c r="E1" s="53"/>
      <c r="F1" s="53"/>
      <c r="G1" s="76"/>
      <c r="H1" s="54"/>
      <c r="I1" s="54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</row>
    <row r="2" spans="2:29">
      <c r="B2" s="43" t="s">
        <v>46</v>
      </c>
      <c r="C2" s="53"/>
      <c r="D2" s="3" t="s">
        <v>2</v>
      </c>
      <c r="E2" s="55" t="s">
        <v>26</v>
      </c>
      <c r="F2" s="55" t="s">
        <v>48</v>
      </c>
      <c r="G2" s="77" t="s">
        <v>15</v>
      </c>
      <c r="H2" s="78" t="s">
        <v>26</v>
      </c>
      <c r="I2" s="55" t="s">
        <v>48</v>
      </c>
      <c r="J2" s="3" t="s">
        <v>2</v>
      </c>
      <c r="K2" s="55" t="s">
        <v>12</v>
      </c>
      <c r="L2" s="55" t="s">
        <v>48</v>
      </c>
      <c r="M2" s="3" t="s">
        <v>2</v>
      </c>
      <c r="N2" s="55" t="s">
        <v>12</v>
      </c>
      <c r="O2" s="55" t="s">
        <v>48</v>
      </c>
      <c r="P2" s="3" t="s">
        <v>2</v>
      </c>
      <c r="Q2" s="55" t="s">
        <v>12</v>
      </c>
      <c r="R2" s="55" t="s">
        <v>48</v>
      </c>
      <c r="S2" s="3" t="s">
        <v>2</v>
      </c>
      <c r="T2" s="55" t="s">
        <v>12</v>
      </c>
      <c r="U2" s="55" t="s">
        <v>48</v>
      </c>
      <c r="V2" s="53"/>
      <c r="W2" s="53"/>
      <c r="X2" s="3" t="s">
        <v>2</v>
      </c>
      <c r="Y2" s="55" t="s">
        <v>26</v>
      </c>
      <c r="Z2" s="55" t="s">
        <v>48</v>
      </c>
      <c r="AA2" s="56" t="s">
        <v>15</v>
      </c>
      <c r="AB2" s="53"/>
      <c r="AC2" s="55" t="s">
        <v>48</v>
      </c>
    </row>
    <row r="3" spans="2:29">
      <c r="B3" s="45" t="s">
        <v>1</v>
      </c>
      <c r="C3" s="53"/>
      <c r="D3" s="4" t="s">
        <v>3</v>
      </c>
      <c r="E3" s="24" t="s">
        <v>27</v>
      </c>
      <c r="F3" s="3" t="s">
        <v>49</v>
      </c>
      <c r="G3" s="79" t="s">
        <v>3</v>
      </c>
      <c r="H3" s="80" t="s">
        <v>27</v>
      </c>
      <c r="I3" s="3" t="s">
        <v>49</v>
      </c>
      <c r="J3" s="4" t="s">
        <v>7</v>
      </c>
      <c r="K3" s="57" t="s">
        <v>14</v>
      </c>
      <c r="L3" s="3" t="s">
        <v>49</v>
      </c>
      <c r="M3" s="4" t="s">
        <v>9</v>
      </c>
      <c r="N3" s="57" t="s">
        <v>14</v>
      </c>
      <c r="O3" s="3" t="s">
        <v>49</v>
      </c>
      <c r="P3" s="4" t="s">
        <v>10</v>
      </c>
      <c r="Q3" s="57" t="s">
        <v>14</v>
      </c>
      <c r="R3" s="3" t="s">
        <v>49</v>
      </c>
      <c r="S3" s="4" t="s">
        <v>11</v>
      </c>
      <c r="T3" s="57" t="s">
        <v>14</v>
      </c>
      <c r="U3" s="3" t="s">
        <v>49</v>
      </c>
      <c r="V3" s="53"/>
      <c r="W3" s="53"/>
      <c r="X3" s="4" t="s">
        <v>13</v>
      </c>
      <c r="Y3" s="24" t="s">
        <v>27</v>
      </c>
      <c r="Z3" s="3" t="s">
        <v>49</v>
      </c>
      <c r="AA3" s="56" t="s">
        <v>41</v>
      </c>
      <c r="AB3" s="24" t="s">
        <v>27</v>
      </c>
      <c r="AC3" s="3" t="s">
        <v>49</v>
      </c>
    </row>
    <row r="4" spans="2:29">
      <c r="B4" s="46">
        <v>9405</v>
      </c>
      <c r="C4" s="53"/>
      <c r="D4" s="45" t="s">
        <v>28</v>
      </c>
      <c r="E4" s="3" t="s">
        <v>29</v>
      </c>
      <c r="F4" s="3">
        <v>3</v>
      </c>
      <c r="G4" s="81" t="s">
        <v>28</v>
      </c>
      <c r="H4" s="35" t="s">
        <v>29</v>
      </c>
      <c r="I4" s="3">
        <v>3</v>
      </c>
      <c r="J4" s="53"/>
      <c r="K4" s="53"/>
      <c r="L4" s="3">
        <v>3</v>
      </c>
      <c r="M4" s="53"/>
      <c r="N4" s="53"/>
      <c r="O4" s="3"/>
      <c r="P4" s="53"/>
      <c r="Q4" s="53"/>
      <c r="R4" s="3"/>
      <c r="S4" s="53"/>
      <c r="T4" s="53"/>
      <c r="U4" s="53"/>
      <c r="V4" s="53"/>
      <c r="W4" s="53"/>
      <c r="X4" s="53"/>
      <c r="Y4" s="3" t="s">
        <v>29</v>
      </c>
      <c r="Z4" s="3">
        <f>+(F4*8+L4+O4+R4+U4)/AA4</f>
        <v>3</v>
      </c>
      <c r="AA4" s="45">
        <v>9</v>
      </c>
      <c r="AB4" s="3" t="s">
        <v>29</v>
      </c>
      <c r="AC4" s="3">
        <f>+Z4</f>
        <v>3</v>
      </c>
    </row>
    <row r="5" spans="2:29">
      <c r="B5" s="10" t="s">
        <v>4</v>
      </c>
      <c r="C5" s="17"/>
      <c r="D5" s="9">
        <v>5515.192</v>
      </c>
      <c r="E5" s="59">
        <f>+D5/$D$5</f>
        <v>1</v>
      </c>
      <c r="F5" s="109">
        <f>+D5/F4</f>
        <v>1838.3973333333333</v>
      </c>
      <c r="G5" s="82">
        <f>+D5/8</f>
        <v>689.399</v>
      </c>
      <c r="H5" s="69">
        <f>+G5/$G$5</f>
        <v>1</v>
      </c>
      <c r="I5" s="109">
        <f>+G5/I4</f>
        <v>229.79966666666667</v>
      </c>
      <c r="J5" s="9">
        <v>1180</v>
      </c>
      <c r="K5" s="59">
        <f>+J5/$J$5</f>
        <v>1</v>
      </c>
      <c r="L5" s="109">
        <f>+J5/L4</f>
        <v>393.33333333333331</v>
      </c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31">
        <f>+D5+J5+M5+P5+S5</f>
        <v>6695.192</v>
      </c>
      <c r="Y5" s="69">
        <f>+X5/$X$5</f>
        <v>1</v>
      </c>
      <c r="Z5" s="109">
        <f>+X5/Z4</f>
        <v>2231.7306666666668</v>
      </c>
      <c r="AA5" s="31">
        <f>+X5/$AA$4</f>
        <v>743.91022222222227</v>
      </c>
      <c r="AB5" s="62"/>
      <c r="AC5" s="109">
        <f>+AA5/AC4</f>
        <v>247.97007407407409</v>
      </c>
    </row>
    <row r="6" spans="2:29">
      <c r="B6" s="7" t="s">
        <v>5</v>
      </c>
      <c r="C6" s="17"/>
      <c r="D6" s="11">
        <v>2205.2469999999998</v>
      </c>
      <c r="E6" s="60">
        <f>+D6/$D$5</f>
        <v>0.39984954286269631</v>
      </c>
      <c r="F6" s="110">
        <f>+D6/F4</f>
        <v>735.08233333333328</v>
      </c>
      <c r="G6" s="83">
        <f>+D6/8</f>
        <v>275.65587499999998</v>
      </c>
      <c r="H6" s="70">
        <f>+G6/$G$5</f>
        <v>0.39984954286269631</v>
      </c>
      <c r="I6" s="110">
        <f>+G6/I4</f>
        <v>91.88529166666666</v>
      </c>
      <c r="J6" s="11">
        <v>376.8</v>
      </c>
      <c r="K6" s="60">
        <f>+J6/$J$5</f>
        <v>0.3193220338983051</v>
      </c>
      <c r="L6" s="110">
        <f>+J6/L4</f>
        <v>125.60000000000001</v>
      </c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4">
        <f t="shared" ref="X6:X9" si="0">+D6+J6+M6+P6+S6</f>
        <v>2582.047</v>
      </c>
      <c r="Y6" s="70">
        <f>+X6/$X$5</f>
        <v>0.38565690125092755</v>
      </c>
      <c r="Z6" s="110">
        <f>+X6/Z4</f>
        <v>860.6823333333333</v>
      </c>
      <c r="AA6" s="14">
        <f t="shared" ref="AA6:AA9" si="1">+X6/$AA$4</f>
        <v>286.8941111111111</v>
      </c>
      <c r="AB6" s="62"/>
      <c r="AC6" s="110">
        <f>+AA6/AC4</f>
        <v>95.631370370370362</v>
      </c>
    </row>
    <row r="7" spans="2:29">
      <c r="B7" s="10" t="s">
        <v>8</v>
      </c>
      <c r="C7" s="17"/>
      <c r="D7" s="8">
        <f>+D5-D6</f>
        <v>3309.9450000000002</v>
      </c>
      <c r="E7" s="61">
        <f>+D7/$D$5</f>
        <v>0.60015045713730364</v>
      </c>
      <c r="F7" s="111">
        <f>+F5-F6</f>
        <v>1103.3150000000001</v>
      </c>
      <c r="G7" s="82">
        <f>+D7/8</f>
        <v>413.74312500000002</v>
      </c>
      <c r="H7" s="70">
        <f>+G7/$G$5</f>
        <v>0.60015045713730364</v>
      </c>
      <c r="I7" s="111">
        <f>+I5-I6</f>
        <v>137.91437500000001</v>
      </c>
      <c r="J7" s="8">
        <f>+J5-J6</f>
        <v>803.2</v>
      </c>
      <c r="K7" s="61">
        <f>+J7/$J$5</f>
        <v>0.68067796610169495</v>
      </c>
      <c r="L7" s="111">
        <f>+L5-L6</f>
        <v>267.73333333333329</v>
      </c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3">
        <f t="shared" si="0"/>
        <v>4113.1450000000004</v>
      </c>
      <c r="Y7" s="70">
        <f>+X7/$X$5</f>
        <v>0.61434309874907256</v>
      </c>
      <c r="Z7" s="111">
        <f>+Z5-Z6</f>
        <v>1371.0483333333336</v>
      </c>
      <c r="AA7" s="13">
        <f t="shared" si="1"/>
        <v>457.01611111111117</v>
      </c>
      <c r="AB7" s="62"/>
      <c r="AC7" s="111">
        <f>+AC5-AC6</f>
        <v>152.33870370370374</v>
      </c>
    </row>
    <row r="8" spans="2:29">
      <c r="B8" s="7" t="s">
        <v>6</v>
      </c>
      <c r="C8" s="17"/>
      <c r="D8" s="11">
        <f>1921.502+2322.748</f>
        <v>4244.25</v>
      </c>
      <c r="E8" s="60">
        <f>+D8/$D$5</f>
        <v>0.76955616413716876</v>
      </c>
      <c r="F8" s="110">
        <f>+D8/F4</f>
        <v>1414.75</v>
      </c>
      <c r="G8" s="83">
        <f>+D8/8</f>
        <v>530.53125</v>
      </c>
      <c r="H8" s="70">
        <f>+G8/$G$5</f>
        <v>0.76955616413716876</v>
      </c>
      <c r="I8" s="110">
        <f>+G8/I4</f>
        <v>176.84375</v>
      </c>
      <c r="J8" s="11">
        <f>284.43+284.769</f>
        <v>569.19900000000007</v>
      </c>
      <c r="K8" s="60">
        <f>+J8/$J$5</f>
        <v>0.48237203389830513</v>
      </c>
      <c r="L8" s="110">
        <f>+J8/L4</f>
        <v>189.73300000000003</v>
      </c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4">
        <f t="shared" si="0"/>
        <v>4813.4490000000005</v>
      </c>
      <c r="Y8" s="70">
        <f>+X8/$X$5</f>
        <v>0.71894114463035574</v>
      </c>
      <c r="Z8" s="110">
        <f>+X8/Z4</f>
        <v>1604.4830000000002</v>
      </c>
      <c r="AA8" s="14">
        <f t="shared" si="1"/>
        <v>534.82766666666669</v>
      </c>
      <c r="AB8" s="62"/>
      <c r="AC8" s="110">
        <f>+AA8/AC4</f>
        <v>178.27588888888889</v>
      </c>
    </row>
    <row r="9" spans="2:29">
      <c r="B9" s="19" t="s">
        <v>16</v>
      </c>
      <c r="C9" s="17"/>
      <c r="D9" s="15">
        <f>+D5-D6-D8</f>
        <v>-934.30499999999984</v>
      </c>
      <c r="E9" s="59">
        <f>+D9/$D$5</f>
        <v>-0.16940570699986507</v>
      </c>
      <c r="F9" s="15">
        <f>+F5-F6-F8</f>
        <v>-311.43499999999995</v>
      </c>
      <c r="G9" s="84">
        <f>+D9/8</f>
        <v>-116.78812499999998</v>
      </c>
      <c r="H9" s="69">
        <f>+G9/$G$5</f>
        <v>-0.16940570699986507</v>
      </c>
      <c r="I9" s="15">
        <f>+I5-I6-I8</f>
        <v>-38.929374999999993</v>
      </c>
      <c r="J9" s="15">
        <f>+J5-J6-J8</f>
        <v>234.00099999999998</v>
      </c>
      <c r="K9" s="59">
        <f>+J9/$J$5</f>
        <v>0.19830593220338982</v>
      </c>
      <c r="L9" s="15">
        <f>+L5-L6-L8</f>
        <v>78.000333333333259</v>
      </c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6">
        <f t="shared" si="0"/>
        <v>-700.30399999999986</v>
      </c>
      <c r="Y9" s="69">
        <f>+X9/$X$5</f>
        <v>-0.10459804588128314</v>
      </c>
      <c r="Z9" s="15">
        <f>+Z5-Z6-Z8</f>
        <v>-233.43466666666654</v>
      </c>
      <c r="AA9" s="30">
        <f t="shared" si="1"/>
        <v>-77.811555555555543</v>
      </c>
      <c r="AB9" s="62"/>
      <c r="AC9" s="15">
        <f>+AC5-AC6-AC8</f>
        <v>-25.937185185185143</v>
      </c>
    </row>
    <row r="10" spans="2:29" ht="7.5" customHeight="1">
      <c r="B10" s="17"/>
      <c r="C10" s="17"/>
      <c r="D10" s="33"/>
      <c r="E10" s="62"/>
      <c r="F10" s="62"/>
      <c r="G10" s="85"/>
      <c r="H10" s="86"/>
      <c r="I10" s="62"/>
      <c r="J10" s="33"/>
      <c r="K10" s="62"/>
      <c r="L10" s="62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71"/>
      <c r="Z10" s="62"/>
      <c r="AA10" s="17"/>
      <c r="AB10" s="62"/>
      <c r="AC10" s="62"/>
    </row>
    <row r="11" spans="2:29">
      <c r="B11" s="18" t="s">
        <v>20</v>
      </c>
      <c r="C11" s="17"/>
      <c r="D11" s="33">
        <v>8.4149999999999991</v>
      </c>
      <c r="E11" s="62"/>
      <c r="F11" s="110">
        <f>+D11/F4</f>
        <v>2.8049999999999997</v>
      </c>
      <c r="G11" s="108">
        <v>8.4149999999999991</v>
      </c>
      <c r="H11" s="86"/>
      <c r="I11" s="110">
        <f>+G11/I4</f>
        <v>2.8049999999999997</v>
      </c>
      <c r="J11" s="33">
        <v>8.4149999999999991</v>
      </c>
      <c r="K11" s="62"/>
      <c r="L11" s="110">
        <f>+J11/L4</f>
        <v>2.8049999999999997</v>
      </c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4">
        <f>(J11+G11*8)/AA4</f>
        <v>8.4149999999999991</v>
      </c>
      <c r="Y11" s="62"/>
      <c r="Z11" s="110">
        <f>+X11/Z4</f>
        <v>2.8049999999999997</v>
      </c>
      <c r="AA11" s="29">
        <f>+X11</f>
        <v>8.4149999999999991</v>
      </c>
      <c r="AB11" s="62"/>
      <c r="AC11" s="110">
        <f>+AA11/AC4</f>
        <v>2.8049999999999997</v>
      </c>
    </row>
    <row r="12" spans="2:29">
      <c r="B12" s="18" t="s">
        <v>17</v>
      </c>
      <c r="C12" s="17"/>
      <c r="D12" s="33">
        <v>2322.748</v>
      </c>
      <c r="E12" s="62"/>
      <c r="F12" s="110">
        <f>+D12/F4</f>
        <v>774.24933333333331</v>
      </c>
      <c r="G12" s="83">
        <f>+D12/8</f>
        <v>290.34350000000001</v>
      </c>
      <c r="H12" s="86"/>
      <c r="I12" s="110">
        <f>+G12/I4</f>
        <v>96.781166666666664</v>
      </c>
      <c r="J12" s="33">
        <v>284.76900000000001</v>
      </c>
      <c r="K12" s="62"/>
      <c r="L12" s="110">
        <f>+J12/L4</f>
        <v>94.923000000000002</v>
      </c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4">
        <f t="shared" ref="X12" si="2">+D12+J12+M12+P12+S12</f>
        <v>2607.5169999999998</v>
      </c>
      <c r="Y12" s="62"/>
      <c r="Z12" s="110">
        <f>+X12/Z4</f>
        <v>869.17233333333331</v>
      </c>
      <c r="AA12" s="14">
        <f t="shared" ref="AA12" si="3">+X12/$AA$4</f>
        <v>289.72411111111109</v>
      </c>
      <c r="AB12" s="62"/>
      <c r="AC12" s="110">
        <f>+AA12/AC4</f>
        <v>96.57470370370369</v>
      </c>
    </row>
    <row r="13" spans="2:29">
      <c r="B13" s="19" t="s">
        <v>22</v>
      </c>
      <c r="C13" s="17"/>
      <c r="D13" s="34">
        <f>+D12/D5</f>
        <v>0.42115451284379585</v>
      </c>
      <c r="E13" s="62"/>
      <c r="F13" s="34"/>
      <c r="G13" s="87">
        <f>+G12/G5</f>
        <v>0.42115451284379585</v>
      </c>
      <c r="H13" s="86"/>
      <c r="I13" s="34"/>
      <c r="J13" s="34">
        <f>+J12/J5</f>
        <v>0.24132966101694917</v>
      </c>
      <c r="K13" s="62"/>
      <c r="L13" s="34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36">
        <f>+X12/X5</f>
        <v>0.38946112374372532</v>
      </c>
      <c r="Y13" s="62"/>
      <c r="Z13" s="34"/>
      <c r="AA13" s="36">
        <f>+AA12/AA5</f>
        <v>0.38946112374372527</v>
      </c>
      <c r="AB13" s="62"/>
      <c r="AC13" s="34"/>
    </row>
    <row r="14" spans="2:29">
      <c r="B14" s="19" t="s">
        <v>18</v>
      </c>
      <c r="C14" s="17"/>
      <c r="D14" s="8">
        <f>+D5/D11</f>
        <v>655.40011883541297</v>
      </c>
      <c r="E14" s="62"/>
      <c r="F14" s="8"/>
      <c r="G14" s="88">
        <f>+G5/G11</f>
        <v>81.925014854426621</v>
      </c>
      <c r="H14" s="86"/>
      <c r="I14" s="8"/>
      <c r="J14" s="8">
        <f>+J5/J11</f>
        <v>140.22578728461082</v>
      </c>
      <c r="K14" s="62"/>
      <c r="L14" s="8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37">
        <f>+X5/X11</f>
        <v>795.62590612002384</v>
      </c>
      <c r="Y14" s="62"/>
      <c r="Z14" s="8"/>
      <c r="AA14" s="37">
        <f>+AA5/AA11</f>
        <v>88.402878457780432</v>
      </c>
      <c r="AB14" s="62"/>
      <c r="AC14" s="8"/>
    </row>
    <row r="15" spans="2:29">
      <c r="B15" s="10" t="s">
        <v>45</v>
      </c>
      <c r="C15" s="17"/>
      <c r="D15" s="8">
        <f>+D12/D11</f>
        <v>276.02471776589425</v>
      </c>
      <c r="E15" s="62"/>
      <c r="F15" s="8"/>
      <c r="G15" s="88">
        <f>+G12/G11</f>
        <v>34.503089720736781</v>
      </c>
      <c r="H15" s="86"/>
      <c r="I15" s="8"/>
      <c r="J15" s="8">
        <f>+J12/J11</f>
        <v>33.840641711229949</v>
      </c>
      <c r="K15" s="62"/>
      <c r="L15" s="8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37">
        <f>+X12/X11</f>
        <v>309.86535947712417</v>
      </c>
      <c r="Y15" s="62"/>
      <c r="Z15" s="8"/>
      <c r="AA15" s="37">
        <f>+AA12/AA11</f>
        <v>34.429484386347134</v>
      </c>
      <c r="AB15" s="62"/>
      <c r="AC15" s="8"/>
    </row>
    <row r="16" spans="2:29">
      <c r="B16" s="19" t="s">
        <v>23</v>
      </c>
      <c r="C16" s="17"/>
      <c r="D16" s="34">
        <f>+D12/D7</f>
        <v>0.70174821636009055</v>
      </c>
      <c r="E16" s="62"/>
      <c r="F16" s="34"/>
      <c r="G16" s="87">
        <f>+G12/G7</f>
        <v>0.70174821636009055</v>
      </c>
      <c r="H16" s="86"/>
      <c r="I16" s="34"/>
      <c r="J16" s="34">
        <f>+J12/J7</f>
        <v>0.35454307768924304</v>
      </c>
      <c r="K16" s="62"/>
      <c r="L16" s="34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36">
        <f>+X12/X7</f>
        <v>0.6339472593356178</v>
      </c>
      <c r="Y16" s="62"/>
      <c r="Z16" s="34"/>
      <c r="AA16" s="36">
        <f>+AA12/AA7</f>
        <v>0.63394725933561769</v>
      </c>
      <c r="AB16" s="62"/>
      <c r="AC16" s="34"/>
    </row>
    <row r="17" spans="2:29" ht="7.5" customHeight="1">
      <c r="B17" s="7"/>
      <c r="C17" s="17"/>
      <c r="D17" s="33"/>
      <c r="E17" s="62"/>
      <c r="F17" s="62"/>
      <c r="G17" s="85"/>
      <c r="H17" s="86"/>
      <c r="I17" s="62"/>
      <c r="J17" s="33"/>
      <c r="K17" s="62"/>
      <c r="L17" s="62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62"/>
      <c r="Z17" s="62"/>
      <c r="AA17" s="17"/>
      <c r="AB17" s="62"/>
      <c r="AC17" s="62"/>
    </row>
    <row r="18" spans="2:29">
      <c r="B18" s="18" t="s">
        <v>25</v>
      </c>
      <c r="C18" s="17"/>
      <c r="D18" s="11">
        <v>380232</v>
      </c>
      <c r="E18" s="11">
        <v>380232</v>
      </c>
      <c r="F18" s="72">
        <f>+D18/$F$4</f>
        <v>126744</v>
      </c>
      <c r="G18" s="83">
        <f t="shared" ref="G18:H20" si="4">+D18/8</f>
        <v>47529</v>
      </c>
      <c r="H18" s="89">
        <f t="shared" si="4"/>
        <v>47529</v>
      </c>
      <c r="I18" s="72">
        <f>+G18/I4</f>
        <v>15843</v>
      </c>
      <c r="J18" s="11">
        <v>52029</v>
      </c>
      <c r="K18" s="63">
        <v>52029</v>
      </c>
      <c r="L18" s="72">
        <f>+J18/L4</f>
        <v>17343</v>
      </c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4">
        <f t="shared" ref="X18:X20" si="5">+D18+J18+M18+P18+S18</f>
        <v>432261</v>
      </c>
      <c r="Y18" s="72">
        <f>+E18+K18+N18+Q18</f>
        <v>432261</v>
      </c>
      <c r="Z18" s="72">
        <f>+X18/Z4</f>
        <v>144087</v>
      </c>
      <c r="AA18" s="14">
        <f t="shared" ref="AA18:AB20" si="6">+X18/$AA$4</f>
        <v>48029</v>
      </c>
      <c r="AB18" s="72">
        <f t="shared" si="6"/>
        <v>48029</v>
      </c>
      <c r="AC18" s="72">
        <f>+AA18/AC4</f>
        <v>16009.666666666666</v>
      </c>
    </row>
    <row r="19" spans="2:29">
      <c r="B19" s="18" t="s">
        <v>44</v>
      </c>
      <c r="C19" s="17"/>
      <c r="D19" s="11">
        <v>29382</v>
      </c>
      <c r="E19" s="11">
        <v>29382</v>
      </c>
      <c r="F19" s="72">
        <f>+D19/$F$4</f>
        <v>9794</v>
      </c>
      <c r="G19" s="83">
        <f t="shared" si="4"/>
        <v>3672.75</v>
      </c>
      <c r="H19" s="89">
        <f t="shared" si="4"/>
        <v>3672.75</v>
      </c>
      <c r="I19" s="72">
        <f>+G19/I4</f>
        <v>1224.25</v>
      </c>
      <c r="J19" s="11">
        <v>3761</v>
      </c>
      <c r="K19" s="63">
        <v>3761</v>
      </c>
      <c r="L19" s="72">
        <f>+J19/L4</f>
        <v>1253.6666666666667</v>
      </c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4">
        <f t="shared" si="5"/>
        <v>33143</v>
      </c>
      <c r="Y19" s="72">
        <f>+E19+K19+N19+Q19</f>
        <v>33143</v>
      </c>
      <c r="Z19" s="72">
        <f>+X19/Z4</f>
        <v>11047.666666666666</v>
      </c>
      <c r="AA19" s="14">
        <f t="shared" si="6"/>
        <v>3682.5555555555557</v>
      </c>
      <c r="AB19" s="72">
        <f t="shared" si="6"/>
        <v>3682.5555555555557</v>
      </c>
      <c r="AC19" s="72">
        <f>+AA19/AC4</f>
        <v>1227.5185185185185</v>
      </c>
    </row>
    <row r="20" spans="2:29">
      <c r="B20" s="18" t="s">
        <v>30</v>
      </c>
      <c r="C20" s="17"/>
      <c r="D20" s="11">
        <v>1075.94</v>
      </c>
      <c r="E20" s="11">
        <v>1075.94</v>
      </c>
      <c r="F20" s="72">
        <f>+D20/$F$4</f>
        <v>358.6466666666667</v>
      </c>
      <c r="G20" s="83">
        <f t="shared" si="4"/>
        <v>134.49250000000001</v>
      </c>
      <c r="H20" s="89">
        <f t="shared" si="4"/>
        <v>134.49250000000001</v>
      </c>
      <c r="I20" s="72">
        <f>+G20/I4</f>
        <v>44.830833333333338</v>
      </c>
      <c r="J20" s="11">
        <v>139.06200000000001</v>
      </c>
      <c r="K20" s="64">
        <v>139.06200000000001</v>
      </c>
      <c r="L20" s="72">
        <f>+J20/L4</f>
        <v>46.354000000000006</v>
      </c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4">
        <f t="shared" si="5"/>
        <v>1215.002</v>
      </c>
      <c r="Y20" s="72">
        <f>+E20+K20+N20+Q20</f>
        <v>1215.002</v>
      </c>
      <c r="Z20" s="72">
        <f>+X20/Z4</f>
        <v>405.00066666666663</v>
      </c>
      <c r="AA20" s="14">
        <f t="shared" si="6"/>
        <v>135.00022222222222</v>
      </c>
      <c r="AB20" s="72">
        <f t="shared" si="6"/>
        <v>135.00022222222222</v>
      </c>
      <c r="AC20" s="72">
        <f>+AA20/AC4</f>
        <v>45.000074074074071</v>
      </c>
    </row>
    <row r="21" spans="2:29">
      <c r="B21" s="19" t="s">
        <v>21</v>
      </c>
      <c r="C21" s="17"/>
      <c r="D21" s="47">
        <f t="shared" ref="D21:K21" si="7">+D20/D19*1000</f>
        <v>36.619018446668029</v>
      </c>
      <c r="E21" s="65">
        <f t="shared" si="7"/>
        <v>36.619018446668029</v>
      </c>
      <c r="F21" s="65"/>
      <c r="G21" s="90">
        <f t="shared" si="7"/>
        <v>36.619018446668029</v>
      </c>
      <c r="H21" s="73">
        <f t="shared" si="7"/>
        <v>36.619018446668029</v>
      </c>
      <c r="I21" s="65"/>
      <c r="J21" s="47">
        <f t="shared" si="7"/>
        <v>36.974740760436063</v>
      </c>
      <c r="K21" s="65">
        <f t="shared" si="7"/>
        <v>36.974740760436063</v>
      </c>
      <c r="L21" s="65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48">
        <f>+X20/X19*1000</f>
        <v>36.659385088857377</v>
      </c>
      <c r="Y21" s="73">
        <f>+Y20/Y19*1000</f>
        <v>36.659385088857377</v>
      </c>
      <c r="Z21" s="65"/>
      <c r="AA21" s="48">
        <f>+AA20/AA19*1000</f>
        <v>36.659385088857377</v>
      </c>
      <c r="AB21" s="73">
        <f>+AB20/AB19*1000</f>
        <v>36.659385088857377</v>
      </c>
      <c r="AC21" s="65"/>
    </row>
    <row r="22" spans="2:29">
      <c r="B22" s="19" t="s">
        <v>24</v>
      </c>
      <c r="C22" s="17"/>
      <c r="D22" s="49">
        <f>+D19/D18</f>
        <v>7.7273874897431039E-2</v>
      </c>
      <c r="E22" s="49">
        <f>+E19/E18</f>
        <v>7.7273874897431039E-2</v>
      </c>
      <c r="F22" s="66"/>
      <c r="G22" s="91">
        <f>+G19/G18</f>
        <v>7.7273874897431039E-2</v>
      </c>
      <c r="H22" s="49">
        <f>+H19/H18</f>
        <v>7.7273874897431039E-2</v>
      </c>
      <c r="I22" s="66"/>
      <c r="J22" s="49">
        <f>+J19/J18</f>
        <v>7.2286609390916606E-2</v>
      </c>
      <c r="K22" s="49">
        <f>+K19/K18</f>
        <v>7.2286609390916606E-2</v>
      </c>
      <c r="L22" s="66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50">
        <f>+X19/X18</f>
        <v>7.6673583783871319E-2</v>
      </c>
      <c r="Y22" s="49">
        <f>+Y19/Y18</f>
        <v>7.6673583783871319E-2</v>
      </c>
      <c r="Z22" s="66"/>
      <c r="AA22" s="50">
        <f>+AA19/AA18</f>
        <v>7.6673583783871319E-2</v>
      </c>
      <c r="AB22" s="49">
        <f>+AB19/AB18</f>
        <v>7.6673583783871319E-2</v>
      </c>
      <c r="AC22" s="66"/>
    </row>
    <row r="23" spans="2:29">
      <c r="B23" s="10" t="s">
        <v>31</v>
      </c>
      <c r="C23" s="10"/>
      <c r="D23" s="51">
        <f>+D20*1000/(D18*D21)*100</f>
        <v>7.7273874897431041</v>
      </c>
      <c r="E23" s="51">
        <f>+E20*1000/(E18*E21)*100</f>
        <v>7.7273874897431041</v>
      </c>
      <c r="F23" s="67"/>
      <c r="G23" s="92">
        <f>+G20/(G18*G21)*1000*100</f>
        <v>7.727387489743105</v>
      </c>
      <c r="H23" s="51">
        <f>+H20*1000/(H18*H21)*100</f>
        <v>7.7273874897431041</v>
      </c>
      <c r="I23" s="67"/>
      <c r="J23" s="51">
        <f>+J20*1000/(J18*J21)*100</f>
        <v>7.2286609390916574</v>
      </c>
      <c r="K23" s="51">
        <f>+K20*1000/(K18*K21)*100</f>
        <v>7.2286609390916574</v>
      </c>
      <c r="L23" s="6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52">
        <f>+X20/(X18*X21)*1000*100</f>
        <v>7.6673583783871315</v>
      </c>
      <c r="Y23" s="51">
        <f>+Y20*1000/(Y18*Y21)*100</f>
        <v>7.6673583783871315</v>
      </c>
      <c r="Z23" s="67"/>
      <c r="AA23" s="52">
        <f>+AA20/(AA18*AA21)*1000*100</f>
        <v>7.6673583783871315</v>
      </c>
      <c r="AB23" s="51">
        <f>+AB20*1000/(AB18*AB21)*100</f>
        <v>7.6673583783871306</v>
      </c>
      <c r="AC23" s="67"/>
    </row>
    <row r="24" spans="2:29">
      <c r="B24" s="19" t="s">
        <v>50</v>
      </c>
      <c r="C24" s="10"/>
      <c r="D24" s="51">
        <f>+D20/D18*1000</f>
        <v>2.829693450314545</v>
      </c>
      <c r="E24" s="51">
        <f>+E20/E18*1000</f>
        <v>2.829693450314545</v>
      </c>
      <c r="F24" s="67"/>
      <c r="G24" s="92">
        <f>+G20/G18*1000</f>
        <v>2.829693450314545</v>
      </c>
      <c r="H24" s="51">
        <f>+H20/H18*1000</f>
        <v>2.829693450314545</v>
      </c>
      <c r="I24" s="67"/>
      <c r="J24" s="51">
        <f>+J20/J18*1000</f>
        <v>2.6727786426800439</v>
      </c>
      <c r="K24" s="51">
        <f>+K20/K18*1000</f>
        <v>2.6727786426800439</v>
      </c>
      <c r="L24" s="6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51">
        <f>+X20/X18*1000</f>
        <v>2.8108064340757091</v>
      </c>
      <c r="Y24" s="51">
        <f>+Y20/Y18*1000</f>
        <v>2.8108064340757091</v>
      </c>
      <c r="Z24" s="67"/>
      <c r="AA24" s="51">
        <f t="shared" ref="AA24:AB24" si="8">+AA20/AA18*1000</f>
        <v>2.8108064340757091</v>
      </c>
      <c r="AB24" s="51">
        <f t="shared" si="8"/>
        <v>2.8108064340757091</v>
      </c>
      <c r="AC24" s="67"/>
    </row>
    <row r="25" spans="2:29" ht="7.5" customHeight="1">
      <c r="B25" s="17"/>
      <c r="E25" s="68"/>
      <c r="F25" s="68"/>
      <c r="G25" s="93"/>
      <c r="H25" s="94"/>
      <c r="I25" s="68"/>
      <c r="K25" s="68"/>
      <c r="L25" s="68"/>
      <c r="Y25" s="68"/>
      <c r="Z25" s="68"/>
      <c r="AB25" s="68"/>
      <c r="AC25" s="68"/>
    </row>
    <row r="26" spans="2:29">
      <c r="B26" s="21" t="s">
        <v>47</v>
      </c>
      <c r="C26" s="20"/>
      <c r="D26" s="22">
        <f>+D8/(1-D6/D5)</f>
        <v>7071.9766177383599</v>
      </c>
      <c r="E26" s="68"/>
      <c r="F26" s="68"/>
      <c r="G26" s="95">
        <f>+G8/(1-G6/G5)</f>
        <v>883.99707721729499</v>
      </c>
      <c r="H26" s="94"/>
      <c r="I26" s="68"/>
      <c r="J26" s="22">
        <f>+J8/(1-J6/J5)</f>
        <v>836.22363047808778</v>
      </c>
      <c r="K26" s="68"/>
      <c r="L26" s="68"/>
      <c r="X26" s="32">
        <f>+X8/(1-X6/X5)</f>
        <v>7835.1152797209934</v>
      </c>
      <c r="Y26" s="75"/>
      <c r="Z26" s="68"/>
      <c r="AA26" s="32">
        <f>+AA8/(1-AA6/AA5)</f>
        <v>870.56836441344342</v>
      </c>
      <c r="AB26" s="75"/>
      <c r="AC26" s="68"/>
    </row>
    <row r="27" spans="2:29">
      <c r="G27" s="12"/>
    </row>
    <row r="28" spans="2:29">
      <c r="G28" s="12"/>
    </row>
    <row r="29" spans="2:29">
      <c r="G29" s="12"/>
    </row>
    <row r="30" spans="2:29">
      <c r="G30" s="12"/>
    </row>
    <row r="31" spans="2:29">
      <c r="G31" s="12"/>
    </row>
    <row r="32" spans="2:29">
      <c r="G32" s="12"/>
    </row>
    <row r="33" spans="7:7">
      <c r="G33" s="12"/>
    </row>
    <row r="34" spans="7:7">
      <c r="G34" s="12"/>
    </row>
    <row r="35" spans="7:7">
      <c r="G35" s="12"/>
    </row>
    <row r="36" spans="7:7">
      <c r="G36" s="12"/>
    </row>
    <row r="37" spans="7:7">
      <c r="G37" s="12"/>
    </row>
    <row r="38" spans="7:7">
      <c r="G38" s="12"/>
    </row>
    <row r="39" spans="7:7">
      <c r="G39" s="12"/>
    </row>
    <row r="40" spans="7:7">
      <c r="G40" s="12"/>
    </row>
    <row r="41" spans="7:7">
      <c r="G41" s="12"/>
    </row>
    <row r="42" spans="7:7">
      <c r="G42" s="12"/>
    </row>
    <row r="43" spans="7:7">
      <c r="G43" s="12"/>
    </row>
    <row r="44" spans="7:7">
      <c r="G44" s="12"/>
    </row>
    <row r="45" spans="7:7">
      <c r="G45" s="12"/>
    </row>
    <row r="46" spans="7:7">
      <c r="G46" s="12"/>
    </row>
    <row r="47" spans="7:7">
      <c r="G47" s="12"/>
    </row>
    <row r="48" spans="7:7">
      <c r="G48" s="12"/>
    </row>
    <row r="49" spans="7:7">
      <c r="G49" s="12"/>
    </row>
    <row r="50" spans="7:7">
      <c r="G50" s="12"/>
    </row>
    <row r="51" spans="7:7">
      <c r="G51" s="12"/>
    </row>
    <row r="52" spans="7:7">
      <c r="G52" s="12"/>
    </row>
    <row r="53" spans="7:7">
      <c r="G53" s="12"/>
    </row>
    <row r="54" spans="7:7">
      <c r="G54" s="12"/>
    </row>
    <row r="55" spans="7:7">
      <c r="G55" s="12"/>
    </row>
    <row r="56" spans="7:7">
      <c r="G56" s="12"/>
    </row>
    <row r="57" spans="7:7">
      <c r="G57" s="12"/>
    </row>
    <row r="58" spans="7:7">
      <c r="G58" s="12"/>
    </row>
    <row r="59" spans="7:7">
      <c r="G59" s="12"/>
    </row>
    <row r="60" spans="7:7">
      <c r="G60" s="12"/>
    </row>
    <row r="61" spans="7:7">
      <c r="G61" s="12"/>
    </row>
    <row r="62" spans="7:7">
      <c r="G62" s="12"/>
    </row>
    <row r="63" spans="7:7">
      <c r="G63" s="12"/>
    </row>
    <row r="64" spans="7:7">
      <c r="G64" s="12"/>
    </row>
    <row r="65" spans="7:7">
      <c r="G65" s="12"/>
    </row>
    <row r="66" spans="7:7">
      <c r="G66" s="12"/>
    </row>
    <row r="67" spans="7:7">
      <c r="G67" s="12"/>
    </row>
    <row r="68" spans="7:7">
      <c r="G68" s="12"/>
    </row>
    <row r="69" spans="7:7">
      <c r="G69" s="12"/>
    </row>
    <row r="70" spans="7:7">
      <c r="G70" s="12"/>
    </row>
    <row r="71" spans="7:7">
      <c r="G71" s="12"/>
    </row>
    <row r="72" spans="7:7">
      <c r="G72" s="12"/>
    </row>
    <row r="73" spans="7:7">
      <c r="G73" s="12"/>
    </row>
    <row r="74" spans="7:7">
      <c r="G74" s="12"/>
    </row>
    <row r="75" spans="7:7">
      <c r="G75" s="12"/>
    </row>
    <row r="76" spans="7:7">
      <c r="G76" s="12"/>
    </row>
    <row r="77" spans="7:7">
      <c r="G77" s="12"/>
    </row>
    <row r="78" spans="7:7">
      <c r="G78" s="12"/>
    </row>
  </sheetData>
  <pageMargins left="0.15748031496062992" right="0.15748031496062992" top="0.59055118110236227" bottom="0.78740157480314965" header="0.31496062992125984" footer="0.31496062992125984"/>
  <pageSetup paperSize="9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4</vt:i4>
      </vt:variant>
    </vt:vector>
  </HeadingPairs>
  <TitlesOfParts>
    <vt:vector size="8" baseType="lpstr">
      <vt:lpstr>CoY</vt:lpstr>
      <vt:lpstr>CoM</vt:lpstr>
      <vt:lpstr>2013</vt:lpstr>
      <vt:lpstr>2014</vt:lpstr>
      <vt:lpstr>'2013'!Oblast_tisku</vt:lpstr>
      <vt:lpstr>'2014'!Oblast_tisku</vt:lpstr>
      <vt:lpstr>CoM!Oblast_tisku</vt:lpstr>
      <vt:lpstr>CoY!Oblast_tisku</vt:lpstr>
    </vt:vector>
  </TitlesOfParts>
  <Company>FNOL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64018</dc:creator>
  <cp:lastModifiedBy>64018</cp:lastModifiedBy>
  <cp:lastPrinted>2014-11-04T11:28:31Z</cp:lastPrinted>
  <dcterms:created xsi:type="dcterms:W3CDTF">2014-10-14T11:21:48Z</dcterms:created>
  <dcterms:modified xsi:type="dcterms:W3CDTF">2014-11-07T14:23:19Z</dcterms:modified>
</cp:coreProperties>
</file>