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2"/>
  </bookViews>
  <sheets>
    <sheet name="CoY" sheetId="7" r:id="rId1"/>
    <sheet name="CoM" sheetId="6" r:id="rId2"/>
    <sheet name="2013" sheetId="4" r:id="rId3"/>
    <sheet name="2014" sheetId="1" r:id="rId4"/>
  </sheets>
  <definedNames>
    <definedName name="_xlnm.Print_Area" localSheetId="2">'2013'!$A$1:$R$40</definedName>
    <definedName name="_xlnm.Print_Area" localSheetId="3">'2014'!$A$1:$R$40</definedName>
    <definedName name="_xlnm.Print_Area" localSheetId="1">CoM!$A$1:$K$40</definedName>
    <definedName name="_xlnm.Print_Area" localSheetId="0">CoY!$B$1:$K$40</definedName>
  </definedNames>
  <calcPr calcId="125725"/>
</workbook>
</file>

<file path=xl/calcChain.xml><?xml version="1.0" encoding="utf-8"?>
<calcChain xmlns="http://schemas.openxmlformats.org/spreadsheetml/2006/main">
  <c r="T34" i="4"/>
  <c r="T30"/>
  <c r="T26"/>
  <c r="T22"/>
  <c r="R34"/>
  <c r="R30"/>
  <c r="R26"/>
  <c r="R22"/>
  <c r="T34" i="1"/>
  <c r="T30"/>
  <c r="T26"/>
  <c r="T22"/>
  <c r="R34"/>
  <c r="R30"/>
  <c r="R26"/>
  <c r="R22"/>
  <c r="F34" i="6" l="1"/>
  <c r="F33"/>
  <c r="F30"/>
  <c r="G30" s="1"/>
  <c r="F29"/>
  <c r="F26"/>
  <c r="F25"/>
  <c r="F22"/>
  <c r="F21"/>
  <c r="F15"/>
  <c r="F14"/>
  <c r="F11"/>
  <c r="F10"/>
  <c r="F9"/>
  <c r="F8"/>
  <c r="F7"/>
  <c r="F6"/>
  <c r="F5"/>
  <c r="D34"/>
  <c r="D33"/>
  <c r="D30"/>
  <c r="E30" s="1"/>
  <c r="D29"/>
  <c r="D26"/>
  <c r="E26" s="1"/>
  <c r="D25"/>
  <c r="D22"/>
  <c r="D21"/>
  <c r="D15"/>
  <c r="D14"/>
  <c r="D11"/>
  <c r="D10"/>
  <c r="D9"/>
  <c r="D8"/>
  <c r="D7"/>
  <c r="D6"/>
  <c r="D5"/>
  <c r="K34" i="7"/>
  <c r="J34"/>
  <c r="K30"/>
  <c r="J30"/>
  <c r="K26"/>
  <c r="J26"/>
  <c r="K22"/>
  <c r="J22"/>
  <c r="S38" i="1"/>
  <c r="S37"/>
  <c r="S36"/>
  <c r="Q38"/>
  <c r="Q37"/>
  <c r="Q36"/>
  <c r="S38" i="4"/>
  <c r="S37"/>
  <c r="S35"/>
  <c r="S34"/>
  <c r="S36" s="1"/>
  <c r="Q36"/>
  <c r="Q37"/>
  <c r="Q38"/>
  <c r="F34" i="7"/>
  <c r="G34" s="1"/>
  <c r="F33"/>
  <c r="F30"/>
  <c r="F29"/>
  <c r="F26"/>
  <c r="G26" s="1"/>
  <c r="F25"/>
  <c r="F22"/>
  <c r="G22" s="1"/>
  <c r="F21"/>
  <c r="F15"/>
  <c r="F14"/>
  <c r="F11"/>
  <c r="F10"/>
  <c r="F9"/>
  <c r="F8"/>
  <c r="F7"/>
  <c r="F6"/>
  <c r="F5"/>
  <c r="E34"/>
  <c r="E30"/>
  <c r="E26"/>
  <c r="E22"/>
  <c r="S33" i="4"/>
  <c r="Q33"/>
  <c r="Q34" s="1"/>
  <c r="S29"/>
  <c r="Q29"/>
  <c r="Q30" s="1"/>
  <c r="S25"/>
  <c r="Q25"/>
  <c r="Q26" s="1"/>
  <c r="S22"/>
  <c r="S21"/>
  <c r="Q21"/>
  <c r="Q22" s="1"/>
  <c r="S15"/>
  <c r="Q15"/>
  <c r="S14"/>
  <c r="Q14"/>
  <c r="Q12"/>
  <c r="R12" s="1"/>
  <c r="Q11"/>
  <c r="Q40" s="1"/>
  <c r="Q10"/>
  <c r="R10" s="1"/>
  <c r="R9"/>
  <c r="Q9"/>
  <c r="Q35" s="1"/>
  <c r="Q8"/>
  <c r="Q31" s="1"/>
  <c r="R7"/>
  <c r="Q7"/>
  <c r="Q27" s="1"/>
  <c r="Q6"/>
  <c r="Q23" s="1"/>
  <c r="R5"/>
  <c r="Q5"/>
  <c r="Q17" s="1"/>
  <c r="Q34" i="1"/>
  <c r="Q30"/>
  <c r="Q26"/>
  <c r="Q21"/>
  <c r="Q22"/>
  <c r="I34"/>
  <c r="I30"/>
  <c r="I26"/>
  <c r="G34"/>
  <c r="G30"/>
  <c r="G26"/>
  <c r="E34"/>
  <c r="E30"/>
  <c r="E26"/>
  <c r="D33" i="7"/>
  <c r="D29"/>
  <c r="D25"/>
  <c r="D21"/>
  <c r="D15"/>
  <c r="D14"/>
  <c r="D11"/>
  <c r="D10"/>
  <c r="D9"/>
  <c r="D8"/>
  <c r="D7"/>
  <c r="D6"/>
  <c r="D5"/>
  <c r="G34" i="6" l="1"/>
  <c r="J30"/>
  <c r="G22"/>
  <c r="K22" s="1"/>
  <c r="E34"/>
  <c r="K34"/>
  <c r="K30"/>
  <c r="E22"/>
  <c r="J22" s="1"/>
  <c r="G30" i="7"/>
  <c r="D22"/>
  <c r="S26" i="4"/>
  <c r="D26" i="7"/>
  <c r="S30" i="4"/>
  <c r="D30" i="7"/>
  <c r="D34"/>
  <c r="S6" i="4"/>
  <c r="S23" s="1"/>
  <c r="S8"/>
  <c r="S31" s="1"/>
  <c r="S10"/>
  <c r="S19" s="1"/>
  <c r="R11"/>
  <c r="S12"/>
  <c r="S18"/>
  <c r="S5"/>
  <c r="S17" s="1"/>
  <c r="R6"/>
  <c r="S7"/>
  <c r="S27" s="1"/>
  <c r="R8"/>
  <c r="S9"/>
  <c r="S11"/>
  <c r="Q16"/>
  <c r="Q18"/>
  <c r="Q19"/>
  <c r="Q28"/>
  <c r="I34"/>
  <c r="I30"/>
  <c r="G34"/>
  <c r="G30"/>
  <c r="E34"/>
  <c r="E30"/>
  <c r="H34"/>
  <c r="H30"/>
  <c r="H26"/>
  <c r="I26" s="1"/>
  <c r="G26"/>
  <c r="E26"/>
  <c r="I22" i="1"/>
  <c r="G22"/>
  <c r="E22"/>
  <c r="I22" i="4"/>
  <c r="G22"/>
  <c r="E22"/>
  <c r="H22"/>
  <c r="H11"/>
  <c r="I11" s="1"/>
  <c r="H5"/>
  <c r="H16" s="1"/>
  <c r="H9"/>
  <c r="H31"/>
  <c r="H27"/>
  <c r="H23"/>
  <c r="H18"/>
  <c r="I9"/>
  <c r="I7"/>
  <c r="I5"/>
  <c r="H17"/>
  <c r="J34" i="6" l="1"/>
  <c r="Q32" i="4"/>
  <c r="Q24"/>
  <c r="S40"/>
  <c r="S16"/>
  <c r="H38"/>
  <c r="H24" s="1"/>
  <c r="H35"/>
  <c r="H37"/>
  <c r="H40"/>
  <c r="H10"/>
  <c r="I10" s="1"/>
  <c r="H12"/>
  <c r="I12" s="1"/>
  <c r="I6"/>
  <c r="I8"/>
  <c r="Q14" i="1"/>
  <c r="S14" s="1"/>
  <c r="H34"/>
  <c r="H30"/>
  <c r="H26"/>
  <c r="H22"/>
  <c r="H9"/>
  <c r="H5"/>
  <c r="I11" s="1"/>
  <c r="I5"/>
  <c r="H31"/>
  <c r="H27"/>
  <c r="H23"/>
  <c r="H18"/>
  <c r="I9"/>
  <c r="I7"/>
  <c r="H17"/>
  <c r="H33" i="7"/>
  <c r="H29"/>
  <c r="H7"/>
  <c r="D17"/>
  <c r="H34" i="6"/>
  <c r="H33"/>
  <c r="H30"/>
  <c r="H29"/>
  <c r="I9"/>
  <c r="I7"/>
  <c r="G26"/>
  <c r="D27"/>
  <c r="D34" i="4"/>
  <c r="D30"/>
  <c r="D26"/>
  <c r="D22"/>
  <c r="D11"/>
  <c r="D40" s="1"/>
  <c r="D9"/>
  <c r="D5"/>
  <c r="D38"/>
  <c r="D37"/>
  <c r="D35"/>
  <c r="F33"/>
  <c r="D31"/>
  <c r="F30"/>
  <c r="F29"/>
  <c r="D27"/>
  <c r="F25"/>
  <c r="D23"/>
  <c r="D24"/>
  <c r="F21"/>
  <c r="D18"/>
  <c r="D17"/>
  <c r="D16"/>
  <c r="F15"/>
  <c r="F11"/>
  <c r="F9"/>
  <c r="F8"/>
  <c r="F7"/>
  <c r="F6"/>
  <c r="F38" s="1"/>
  <c r="E5"/>
  <c r="D12"/>
  <c r="F37" i="1"/>
  <c r="D37"/>
  <c r="F36"/>
  <c r="F32"/>
  <c r="F28"/>
  <c r="D38"/>
  <c r="D32" s="1"/>
  <c r="F38"/>
  <c r="F24" s="1"/>
  <c r="D28"/>
  <c r="D34"/>
  <c r="D5"/>
  <c r="D40" s="1"/>
  <c r="D9"/>
  <c r="S30"/>
  <c r="S26"/>
  <c r="S22"/>
  <c r="Q33"/>
  <c r="S33" s="1"/>
  <c r="Q29"/>
  <c r="S29" s="1"/>
  <c r="Q25"/>
  <c r="S25" s="1"/>
  <c r="Q9"/>
  <c r="Q8"/>
  <c r="S8" s="1"/>
  <c r="Q7"/>
  <c r="F31"/>
  <c r="D35"/>
  <c r="F34"/>
  <c r="S34" s="1"/>
  <c r="F33"/>
  <c r="D31"/>
  <c r="D30"/>
  <c r="F30" s="1"/>
  <c r="F29"/>
  <c r="F25"/>
  <c r="D27"/>
  <c r="D26"/>
  <c r="F26" s="1"/>
  <c r="D23"/>
  <c r="D22"/>
  <c r="F22" s="1"/>
  <c r="D11"/>
  <c r="D12"/>
  <c r="F9"/>
  <c r="F7"/>
  <c r="F27" s="1"/>
  <c r="F8"/>
  <c r="K26" i="6" l="1"/>
  <c r="J26"/>
  <c r="S24" i="4"/>
  <c r="S32"/>
  <c r="S28"/>
  <c r="H36"/>
  <c r="H28"/>
  <c r="H32"/>
  <c r="H19"/>
  <c r="Q35" i="1"/>
  <c r="Q27"/>
  <c r="H38"/>
  <c r="H24" s="1"/>
  <c r="S31"/>
  <c r="S7"/>
  <c r="S27" s="1"/>
  <c r="Q31"/>
  <c r="H10"/>
  <c r="I10" s="1"/>
  <c r="H12"/>
  <c r="I12" s="1"/>
  <c r="H16"/>
  <c r="H35"/>
  <c r="H37"/>
  <c r="H40"/>
  <c r="I6"/>
  <c r="I8"/>
  <c r="D31" i="6"/>
  <c r="F31"/>
  <c r="H7"/>
  <c r="H8"/>
  <c r="H9"/>
  <c r="I29"/>
  <c r="I30"/>
  <c r="I33"/>
  <c r="I34"/>
  <c r="D23" i="7"/>
  <c r="D27"/>
  <c r="D31"/>
  <c r="D35"/>
  <c r="H9"/>
  <c r="H11"/>
  <c r="H15"/>
  <c r="H22"/>
  <c r="D35" i="6"/>
  <c r="F35"/>
  <c r="F27"/>
  <c r="I8"/>
  <c r="D37" i="7"/>
  <c r="H8"/>
  <c r="F12"/>
  <c r="H34"/>
  <c r="H30"/>
  <c r="H25"/>
  <c r="H21"/>
  <c r="H14"/>
  <c r="H10"/>
  <c r="H6"/>
  <c r="E10"/>
  <c r="D40"/>
  <c r="G12"/>
  <c r="E5"/>
  <c r="G5"/>
  <c r="I5"/>
  <c r="E6"/>
  <c r="G6"/>
  <c r="I6"/>
  <c r="E7"/>
  <c r="G7"/>
  <c r="I7"/>
  <c r="E8"/>
  <c r="G8"/>
  <c r="I8"/>
  <c r="E9"/>
  <c r="G9"/>
  <c r="I9"/>
  <c r="G10"/>
  <c r="I10"/>
  <c r="E11"/>
  <c r="G11"/>
  <c r="I11"/>
  <c r="I14"/>
  <c r="I15"/>
  <c r="F16"/>
  <c r="F17"/>
  <c r="F18"/>
  <c r="F19"/>
  <c r="I21"/>
  <c r="I22"/>
  <c r="F23"/>
  <c r="I25"/>
  <c r="F27"/>
  <c r="I29"/>
  <c r="I30"/>
  <c r="F31"/>
  <c r="I33"/>
  <c r="I34"/>
  <c r="F35"/>
  <c r="F37"/>
  <c r="F38"/>
  <c r="F40"/>
  <c r="H5"/>
  <c r="D12"/>
  <c r="E12" s="1"/>
  <c r="D16"/>
  <c r="D18"/>
  <c r="D19"/>
  <c r="D38"/>
  <c r="D28" s="1"/>
  <c r="F22" i="4"/>
  <c r="F35"/>
  <c r="F27"/>
  <c r="D28"/>
  <c r="F31"/>
  <c r="D36"/>
  <c r="F37"/>
  <c r="F23"/>
  <c r="F24" s="1"/>
  <c r="F32"/>
  <c r="F18"/>
  <c r="F26"/>
  <c r="D32"/>
  <c r="F34"/>
  <c r="F12"/>
  <c r="E12"/>
  <c r="F5"/>
  <c r="E6"/>
  <c r="E8"/>
  <c r="E9"/>
  <c r="E11"/>
  <c r="E7"/>
  <c r="D10"/>
  <c r="D36" i="1"/>
  <c r="D24"/>
  <c r="S9"/>
  <c r="F35"/>
  <c r="E9"/>
  <c r="E6"/>
  <c r="E7"/>
  <c r="D10"/>
  <c r="E8"/>
  <c r="S21"/>
  <c r="Q15"/>
  <c r="Q5"/>
  <c r="F21"/>
  <c r="Q11"/>
  <c r="Q6"/>
  <c r="Q23" s="1"/>
  <c r="Q32" l="1"/>
  <c r="H36"/>
  <c r="Q24"/>
  <c r="H28"/>
  <c r="H32"/>
  <c r="H19"/>
  <c r="H27" i="6"/>
  <c r="I27"/>
  <c r="H35"/>
  <c r="I35"/>
  <c r="H31"/>
  <c r="I31"/>
  <c r="F24" i="7"/>
  <c r="H40"/>
  <c r="I40"/>
  <c r="H37"/>
  <c r="I37"/>
  <c r="H35"/>
  <c r="I35"/>
  <c r="H31"/>
  <c r="I31"/>
  <c r="H26"/>
  <c r="F28"/>
  <c r="I26"/>
  <c r="H19"/>
  <c r="I19"/>
  <c r="H17"/>
  <c r="I17"/>
  <c r="D36"/>
  <c r="H12"/>
  <c r="D24"/>
  <c r="H24" s="1"/>
  <c r="H38"/>
  <c r="I38"/>
  <c r="H27"/>
  <c r="I27"/>
  <c r="H23"/>
  <c r="I23"/>
  <c r="H18"/>
  <c r="I18"/>
  <c r="H16"/>
  <c r="I16"/>
  <c r="F36"/>
  <c r="F32"/>
  <c r="D32"/>
  <c r="I12"/>
  <c r="F36" i="4"/>
  <c r="F28"/>
  <c r="D19"/>
  <c r="F40"/>
  <c r="F17"/>
  <c r="G6"/>
  <c r="G12"/>
  <c r="F16"/>
  <c r="F10"/>
  <c r="E10"/>
  <c r="G7"/>
  <c r="G5"/>
  <c r="G9"/>
  <c r="G8"/>
  <c r="G11"/>
  <c r="R8" i="1"/>
  <c r="R7"/>
  <c r="R9"/>
  <c r="Q40"/>
  <c r="S35"/>
  <c r="H21" i="6"/>
  <c r="S6" i="1"/>
  <c r="S23" s="1"/>
  <c r="R6"/>
  <c r="S11"/>
  <c r="R11"/>
  <c r="R5"/>
  <c r="Q16"/>
  <c r="Q18"/>
  <c r="S5"/>
  <c r="S15"/>
  <c r="Q17"/>
  <c r="H14" i="6"/>
  <c r="I14"/>
  <c r="D18"/>
  <c r="F15" i="1"/>
  <c r="D18"/>
  <c r="D17"/>
  <c r="D16"/>
  <c r="F11"/>
  <c r="E11"/>
  <c r="F5"/>
  <c r="E5"/>
  <c r="Q28" l="1"/>
  <c r="S32"/>
  <c r="S28"/>
  <c r="S40"/>
  <c r="S24"/>
  <c r="H32" i="7"/>
  <c r="I32"/>
  <c r="H28"/>
  <c r="I28"/>
  <c r="H36"/>
  <c r="I36"/>
  <c r="I24"/>
  <c r="G10" i="4"/>
  <c r="F19"/>
  <c r="G9" i="1"/>
  <c r="F40"/>
  <c r="I21" i="6"/>
  <c r="G8" i="1"/>
  <c r="G7"/>
  <c r="S17"/>
  <c r="S18"/>
  <c r="S16"/>
  <c r="G11"/>
  <c r="Q12"/>
  <c r="F16"/>
  <c r="F18"/>
  <c r="F6"/>
  <c r="F23" s="1"/>
  <c r="F17"/>
  <c r="G5"/>
  <c r="G8" i="6" l="1"/>
  <c r="G7"/>
  <c r="G9"/>
  <c r="D23"/>
  <c r="D37"/>
  <c r="D40"/>
  <c r="D38"/>
  <c r="E5"/>
  <c r="D12"/>
  <c r="E7"/>
  <c r="E9"/>
  <c r="E8"/>
  <c r="F18"/>
  <c r="I18" s="1"/>
  <c r="F37"/>
  <c r="F40"/>
  <c r="E11"/>
  <c r="D17"/>
  <c r="I5"/>
  <c r="G5"/>
  <c r="I25"/>
  <c r="I15"/>
  <c r="H5"/>
  <c r="G6" i="1"/>
  <c r="F17" i="6"/>
  <c r="H22"/>
  <c r="H11"/>
  <c r="G11"/>
  <c r="H25"/>
  <c r="F16"/>
  <c r="D16"/>
  <c r="I11"/>
  <c r="H15"/>
  <c r="H18"/>
  <c r="E6"/>
  <c r="E12"/>
  <c r="Q10" i="1"/>
  <c r="F23" i="6"/>
  <c r="S12" i="1"/>
  <c r="R12"/>
  <c r="F12"/>
  <c r="G12" s="1"/>
  <c r="E12"/>
  <c r="E10"/>
  <c r="D19"/>
  <c r="F10"/>
  <c r="D24" i="6" l="1"/>
  <c r="H37"/>
  <c r="I37"/>
  <c r="F12"/>
  <c r="H40"/>
  <c r="I40"/>
  <c r="D36"/>
  <c r="D28"/>
  <c r="D32"/>
  <c r="F38"/>
  <c r="H16"/>
  <c r="I22"/>
  <c r="I17"/>
  <c r="H17"/>
  <c r="S10" i="1"/>
  <c r="R10"/>
  <c r="I16" i="6"/>
  <c r="I23"/>
  <c r="H23"/>
  <c r="E10"/>
  <c r="D19"/>
  <c r="Q19" i="1"/>
  <c r="H6" i="6"/>
  <c r="I6"/>
  <c r="G6"/>
  <c r="G10" i="1"/>
  <c r="F19"/>
  <c r="H38" i="6" l="1"/>
  <c r="I38"/>
  <c r="F32"/>
  <c r="F28"/>
  <c r="F36"/>
  <c r="F24"/>
  <c r="I26"/>
  <c r="G10"/>
  <c r="H26"/>
  <c r="S19" i="1"/>
  <c r="H10" i="6"/>
  <c r="I10"/>
  <c r="F19"/>
  <c r="I19" s="1"/>
  <c r="G12"/>
  <c r="H12"/>
  <c r="I12"/>
  <c r="H36" l="1"/>
  <c r="I36"/>
  <c r="H32"/>
  <c r="I32"/>
  <c r="I24"/>
  <c r="H24"/>
  <c r="H28"/>
  <c r="I28"/>
  <c r="H19"/>
</calcChain>
</file>

<file path=xl/sharedStrings.xml><?xml version="1.0" encoding="utf-8"?>
<sst xmlns="http://schemas.openxmlformats.org/spreadsheetml/2006/main" count="295" uniqueCount="61">
  <si>
    <t>FNOL</t>
  </si>
  <si>
    <t>tis. Kč</t>
  </si>
  <si>
    <t>skutečnost</t>
  </si>
  <si>
    <t xml:space="preserve"> 1 - 8 2014</t>
  </si>
  <si>
    <t>Tržby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</si>
  <si>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</si>
  <si>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</si>
  <si>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</si>
  <si>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</si>
  <si>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</si>
  <si>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</si>
  <si>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% z</t>
  </si>
  <si>
    <t>CELKEM</t>
  </si>
  <si>
    <t>tržeb</t>
  </si>
  <si>
    <t>průměr</t>
  </si>
  <si>
    <t>Výsledek</t>
  </si>
  <si>
    <t>Osobní náklady</t>
  </si>
  <si>
    <t>Produktivita práce</t>
  </si>
  <si>
    <t>Zaměstnanci</t>
  </si>
  <si>
    <t>Mzdová nákladovost tržeb</t>
  </si>
  <si>
    <t>Mzdová nákladovost PH</t>
  </si>
  <si>
    <t>% z T</t>
  </si>
  <si>
    <t>účetnictví</t>
  </si>
  <si>
    <t xml:space="preserve"> 1 - 8 2013</t>
  </si>
  <si>
    <t xml:space="preserve"> září 2013</t>
  </si>
  <si>
    <t xml:space="preserve"> říjen 2013</t>
  </si>
  <si>
    <t xml:space="preserve"> listopad 2013</t>
  </si>
  <si>
    <t xml:space="preserve"> prosinec 2013</t>
  </si>
  <si>
    <t>index</t>
  </si>
  <si>
    <t>hodnota</t>
  </si>
  <si>
    <t>2014/2013</t>
  </si>
  <si>
    <t>2014 - 2013</t>
  </si>
  <si>
    <t>počet měsíců</t>
  </si>
  <si>
    <t>Průměrné ON na osobu</t>
  </si>
  <si>
    <t>stravování</t>
  </si>
  <si>
    <t>BOD ZLOMU 9501</t>
  </si>
  <si>
    <r>
      <t xml:space="preserve">Variabilní náklady </t>
    </r>
    <r>
      <rPr>
        <b/>
        <i/>
        <sz val="10"/>
        <rFont val="Arial"/>
        <family val="2"/>
        <charset val="238"/>
      </rPr>
      <t>zaměstnanci</t>
    </r>
  </si>
  <si>
    <r>
      <t xml:space="preserve">Variabilní náklady </t>
    </r>
    <r>
      <rPr>
        <b/>
        <i/>
        <sz val="10"/>
        <rFont val="Arial"/>
        <family val="2"/>
        <charset val="238"/>
      </rPr>
      <t>externí</t>
    </r>
  </si>
  <si>
    <r>
      <t xml:space="preserve">Variabilní náklady </t>
    </r>
    <r>
      <rPr>
        <b/>
        <i/>
        <sz val="10"/>
        <rFont val="Arial"/>
        <family val="2"/>
        <charset val="238"/>
      </rPr>
      <t>studenti</t>
    </r>
  </si>
  <si>
    <r>
      <t xml:space="preserve">Variabilní náklady </t>
    </r>
    <r>
      <rPr>
        <b/>
        <i/>
        <sz val="10"/>
        <rFont val="Arial"/>
        <family val="2"/>
        <charset val="238"/>
      </rPr>
      <t>pacienti</t>
    </r>
  </si>
  <si>
    <t>počet jídel zaměstnanci</t>
  </si>
  <si>
    <t>Tržby na jídlo zaměstnanci</t>
  </si>
  <si>
    <t>VN na jídlo zaměstnanci</t>
  </si>
  <si>
    <t>počet jídel externí</t>
  </si>
  <si>
    <t>Tržby na jídlo externí</t>
  </si>
  <si>
    <t>VN na jídlo externí</t>
  </si>
  <si>
    <t>počet jídel studenti</t>
  </si>
  <si>
    <t>počet jídel pacienti</t>
  </si>
  <si>
    <t>HV zaměstnanci</t>
  </si>
  <si>
    <t>Tržby na jídlo studenti</t>
  </si>
  <si>
    <t>VN na jídlo studenti</t>
  </si>
  <si>
    <t>Tržby na jídlo pacienti</t>
  </si>
  <si>
    <t>VN na jídlo pacienti</t>
  </si>
  <si>
    <t>Fixní náklady na VN</t>
  </si>
  <si>
    <t>Osobní náklady na VN</t>
  </si>
  <si>
    <t>HV studenti</t>
  </si>
  <si>
    <t>HV pacienti</t>
  </si>
  <si>
    <t>HV externí</t>
  </si>
  <si>
    <t>T</t>
  </si>
  <si>
    <t xml:space="preserve"> 1 - 9 2013</t>
  </si>
  <si>
    <t xml:space="preserve"> 1 - 9 2014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</si>
</sst>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165" fontId="9" fillId="0" borderId="0" xfId="0" applyNumberFormat="1" applyFo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17" fillId="0" borderId="0" xfId="0" applyFont="1"/>
    <xf numFmtId="0" fontId="18" fillId="0" borderId="0" xfId="0" applyFont="1"/>
    <xf numFmtId="0" fontId="8" fillId="0" borderId="0" xfId="0" applyFont="1" applyBorder="1"/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0" fontId="22" fillId="0" borderId="0" xfId="1" applyNumberFormat="1" applyFont="1" applyAlignment="1">
      <alignment horizontal="center"/>
    </xf>
    <xf numFmtId="164" fontId="23" fillId="0" borderId="0" xfId="0" applyNumberFormat="1" applyFont="1"/>
    <xf numFmtId="164" fontId="24" fillId="0" borderId="0" xfId="0" applyNumberFormat="1" applyFont="1"/>
    <xf numFmtId="164" fontId="25" fillId="0" borderId="0" xfId="0" applyNumberFormat="1" applyFont="1"/>
    <xf numFmtId="0" fontId="15" fillId="0" borderId="0" xfId="0" applyFont="1"/>
    <xf numFmtId="3" fontId="24" fillId="0" borderId="0" xfId="0" applyNumberFormat="1" applyFont="1" applyAlignment="1"/>
    <xf numFmtId="3" fontId="26" fillId="0" borderId="0" xfId="0" applyNumberFormat="1" applyFont="1"/>
    <xf numFmtId="0" fontId="28" fillId="0" borderId="0" xfId="0" applyFont="1"/>
    <xf numFmtId="164" fontId="23" fillId="0" borderId="0" xfId="0" applyNumberFormat="1" applyFont="1" applyBorder="1"/>
    <xf numFmtId="164" fontId="24" fillId="0" borderId="0" xfId="0" applyNumberFormat="1" applyFont="1" applyBorder="1"/>
    <xf numFmtId="164" fontId="15" fillId="0" borderId="0" xfId="0" applyNumberFormat="1" applyFont="1"/>
    <xf numFmtId="3" fontId="24" fillId="0" borderId="0" xfId="0" applyNumberFormat="1" applyFont="1"/>
    <xf numFmtId="166" fontId="23" fillId="0" borderId="0" xfId="0" applyNumberFormat="1" applyFont="1" applyBorder="1" applyAlignment="1"/>
    <xf numFmtId="3" fontId="29" fillId="0" borderId="0" xfId="0" applyNumberFormat="1" applyFont="1" applyBorder="1"/>
    <xf numFmtId="0" fontId="20" fillId="0" borderId="2" xfId="0" applyFont="1" applyBorder="1"/>
    <xf numFmtId="0" fontId="3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9" fillId="0" borderId="2" xfId="0" applyNumberFormat="1" applyFont="1" applyBorder="1"/>
    <xf numFmtId="3" fontId="12" fillId="0" borderId="2" xfId="0" applyNumberFormat="1" applyFont="1" applyBorder="1"/>
    <xf numFmtId="165" fontId="9" fillId="0" borderId="2" xfId="0" applyNumberFormat="1" applyFont="1" applyBorder="1"/>
    <xf numFmtId="3" fontId="8" fillId="0" borderId="2" xfId="0" applyNumberFormat="1" applyFont="1" applyBorder="1"/>
    <xf numFmtId="0" fontId="15" fillId="0" borderId="0" xfId="0" applyFont="1" applyBorder="1"/>
    <xf numFmtId="164" fontId="9" fillId="0" borderId="2" xfId="0" applyNumberFormat="1" applyFont="1" applyBorder="1" applyAlignment="1"/>
    <xf numFmtId="3" fontId="9" fillId="0" borderId="2" xfId="0" applyNumberFormat="1" applyFont="1" applyBorder="1" applyAlignment="1"/>
    <xf numFmtId="3" fontId="24" fillId="0" borderId="0" xfId="0" applyNumberFormat="1" applyFont="1" applyBorder="1"/>
    <xf numFmtId="3" fontId="0" fillId="0" borderId="2" xfId="0" applyNumberFormat="1" applyBorder="1"/>
    <xf numFmtId="0" fontId="28" fillId="0" borderId="0" xfId="0" applyFont="1" applyBorder="1"/>
    <xf numFmtId="0" fontId="8" fillId="0" borderId="2" xfId="0" applyFont="1" applyBorder="1"/>
    <xf numFmtId="0" fontId="19" fillId="0" borderId="0" xfId="0" applyFont="1" applyBorder="1" applyAlignment="1">
      <alignment horizontal="center"/>
    </xf>
    <xf numFmtId="10" fontId="3" fillId="0" borderId="0" xfId="1" applyNumberFormat="1" applyFont="1" applyBorder="1" applyAlignment="1">
      <alignment horizontal="center"/>
    </xf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165" fontId="24" fillId="0" borderId="0" xfId="0" applyNumberFormat="1" applyFont="1"/>
    <xf numFmtId="164" fontId="32" fillId="0" borderId="1" xfId="1" applyNumberFormat="1" applyFont="1" applyBorder="1"/>
    <xf numFmtId="0" fontId="15" fillId="0" borderId="1" xfId="0" applyFont="1" applyBorder="1"/>
    <xf numFmtId="0" fontId="24" fillId="0" borderId="0" xfId="0" applyFont="1"/>
    <xf numFmtId="4" fontId="9" fillId="0" borderId="0" xfId="0" applyNumberFormat="1" applyFont="1" applyAlignment="1"/>
    <xf numFmtId="4" fontId="9" fillId="0" borderId="2" xfId="0" applyNumberFormat="1" applyFont="1" applyBorder="1" applyAlignment="1"/>
    <xf numFmtId="4" fontId="9" fillId="0" borderId="0" xfId="0" applyNumberFormat="1" applyFont="1" applyBorder="1" applyAlignment="1"/>
    <xf numFmtId="3" fontId="24" fillId="0" borderId="0" xfId="0" applyNumberFormat="1" applyFont="1" applyBorder="1" applyAlignment="1"/>
    <xf numFmtId="167" fontId="9" fillId="0" borderId="0" xfId="0" applyNumberFormat="1" applyFont="1" applyAlignment="1"/>
    <xf numFmtId="167" fontId="9" fillId="0" borderId="2" xfId="0" applyNumberFormat="1" applyFont="1" applyBorder="1" applyAlignment="1"/>
    <xf numFmtId="164" fontId="24" fillId="0" borderId="0" xfId="0" applyNumberFormat="1" applyFont="1" applyAlignment="1"/>
    <xf numFmtId="164" fontId="27" fillId="0" borderId="0" xfId="0" applyNumberFormat="1" applyFont="1" applyAlignment="1"/>
    <xf numFmtId="3" fontId="12" fillId="0" borderId="0" xfId="0" applyNumberFormat="1" applyFont="1" applyBorder="1"/>
    <xf numFmtId="167" fontId="9" fillId="0" borderId="0" xfId="0" applyNumberFormat="1" applyFont="1" applyBorder="1" applyAlignment="1"/>
    <xf numFmtId="3" fontId="0" fillId="0" borderId="0" xfId="0" applyNumberFormat="1" applyBorder="1"/>
    <xf numFmtId="165" fontId="34" fillId="0" borderId="0" xfId="0" applyNumberFormat="1" applyFont="1"/>
    <xf numFmtId="164" fontId="14" fillId="0" borderId="1" xfId="1" applyNumberFormat="1" applyFont="1" applyBorder="1"/>
    <xf numFmtId="3" fontId="10" fillId="0" borderId="2" xfId="0" applyNumberFormat="1" applyFont="1" applyBorder="1"/>
    <xf numFmtId="3" fontId="24" fillId="0" borderId="0" xfId="0" applyNumberFormat="1" applyFont="1" applyAlignment="1">
      <alignment horizontal="center"/>
    </xf>
    <xf numFmtId="164" fontId="31" fillId="0" borderId="0" xfId="1" applyNumberFormat="1" applyFont="1" applyBorder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0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RowHeight="15"/>
  <cols>
    <col min="1" max="1" width="1.7109375" customWidth="1"/>
    <col min="2" max="2" width="27.425781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9" width="11.7109375" customWidth="1"/>
    <col min="10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20" width="13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19" ht="15.75">
      <c r="B1" s="2" t="s">
        <v>0</v>
      </c>
      <c r="H1" s="26"/>
    </row>
    <row r="2" spans="2:19">
      <c r="B2" s="41" t="s">
        <v>34</v>
      </c>
      <c r="D2" s="3" t="s">
        <v>2</v>
      </c>
      <c r="E2" s="5" t="s">
        <v>21</v>
      </c>
      <c r="F2" s="3" t="s">
        <v>2</v>
      </c>
      <c r="G2" s="5" t="s">
        <v>21</v>
      </c>
      <c r="H2" s="27" t="s">
        <v>28</v>
      </c>
      <c r="I2" s="1" t="s">
        <v>29</v>
      </c>
      <c r="J2" s="3"/>
      <c r="K2" s="5"/>
      <c r="L2" s="3"/>
      <c r="M2" s="5"/>
      <c r="N2" s="3"/>
      <c r="Q2" s="3"/>
      <c r="R2" s="5"/>
      <c r="S2" s="1"/>
    </row>
    <row r="3" spans="2:19">
      <c r="B3" s="43" t="s">
        <v>1</v>
      </c>
      <c r="D3" s="4" t="s">
        <v>59</v>
      </c>
      <c r="E3" s="24"/>
      <c r="F3" s="4" t="s">
        <v>60</v>
      </c>
      <c r="G3" s="6"/>
      <c r="H3" s="28" t="s">
        <v>30</v>
      </c>
      <c r="I3" s="25" t="s">
        <v>31</v>
      </c>
      <c r="J3" s="4"/>
      <c r="K3" s="6"/>
      <c r="L3" s="4"/>
      <c r="M3" s="6"/>
      <c r="N3" s="4"/>
      <c r="Q3" s="4"/>
      <c r="R3" s="6"/>
    </row>
    <row r="4" spans="2:19">
      <c r="B4" s="44">
        <v>9501</v>
      </c>
      <c r="D4" s="23" t="s">
        <v>22</v>
      </c>
      <c r="E4" s="3"/>
      <c r="F4" s="23" t="s">
        <v>22</v>
      </c>
      <c r="G4" s="3"/>
      <c r="H4" s="26"/>
    </row>
    <row r="5" spans="2:19">
      <c r="B5" s="10" t="s">
        <v>4</v>
      </c>
      <c r="C5" s="17"/>
      <c r="D5" s="8">
        <f>+'2013'!Q5</f>
        <v>30157.254999999997</v>
      </c>
      <c r="E5" s="50">
        <f>+D5/$D$5</f>
        <v>1</v>
      </c>
      <c r="F5" s="13">
        <f>+'2014'!Q5</f>
        <v>30871.323</v>
      </c>
      <c r="G5" s="50">
        <f>+F5/$F$5</f>
        <v>1</v>
      </c>
      <c r="H5" s="81">
        <f t="shared" ref="H5:H38" si="0">+F5/D5</f>
        <v>1.0236781497520249</v>
      </c>
      <c r="I5" s="82">
        <f>+F5-D5</f>
        <v>714.06800000000294</v>
      </c>
      <c r="J5" s="53"/>
      <c r="K5" s="53"/>
    </row>
    <row r="6" spans="2:19">
      <c r="B6" s="7" t="s">
        <v>36</v>
      </c>
      <c r="C6" s="17"/>
      <c r="D6" s="11">
        <f>+'2013'!Q6</f>
        <v>12784.144</v>
      </c>
      <c r="E6" s="51">
        <f>+D6/$D$5</f>
        <v>0.42391603612464068</v>
      </c>
      <c r="F6" s="14">
        <f>+'2014'!Q6</f>
        <v>10197.837</v>
      </c>
      <c r="G6" s="51">
        <f>+F6/$F$5</f>
        <v>0.3303336562543821</v>
      </c>
      <c r="H6" s="83">
        <f t="shared" si="0"/>
        <v>0.79769415926478926</v>
      </c>
      <c r="I6" s="84">
        <f>+F6-D6</f>
        <v>-2586.3070000000007</v>
      </c>
      <c r="J6" s="53"/>
      <c r="K6" s="53"/>
    </row>
    <row r="7" spans="2:19">
      <c r="B7" s="7" t="s">
        <v>37</v>
      </c>
      <c r="C7" s="17"/>
      <c r="D7" s="11">
        <f>+'2013'!Q7</f>
        <v>1462.2159999999999</v>
      </c>
      <c r="E7" s="51">
        <f t="shared" ref="E7:E9" si="1">+D7/$D$5</f>
        <v>4.8486375832283143E-2</v>
      </c>
      <c r="F7" s="14">
        <f>+'2014'!Q7</f>
        <v>1302.8600000000001</v>
      </c>
      <c r="G7" s="51">
        <f t="shared" ref="G7:G9" si="2">+F7/$F$5</f>
        <v>4.2202920814245641E-2</v>
      </c>
      <c r="H7" s="83">
        <f t="shared" si="0"/>
        <v>0.89101746937524973</v>
      </c>
      <c r="I7" s="84">
        <f t="shared" ref="I7:I9" si="3">+F7-D7</f>
        <v>-159.35599999999977</v>
      </c>
      <c r="J7" s="53"/>
      <c r="K7" s="53"/>
    </row>
    <row r="8" spans="2:19">
      <c r="B8" s="7" t="s">
        <v>38</v>
      </c>
      <c r="C8" s="17"/>
      <c r="D8" s="11">
        <f>+'2013'!Q8</f>
        <v>810.56899999999996</v>
      </c>
      <c r="E8" s="51">
        <f t="shared" si="1"/>
        <v>2.6878076270535897E-2</v>
      </c>
      <c r="F8" s="14">
        <f>+'2014'!Q8</f>
        <v>946.97935000000007</v>
      </c>
      <c r="G8" s="51">
        <f t="shared" si="2"/>
        <v>3.0675049138645598E-2</v>
      </c>
      <c r="H8" s="83">
        <f t="shared" si="0"/>
        <v>1.1682896212413749</v>
      </c>
      <c r="I8" s="84">
        <f t="shared" si="3"/>
        <v>136.41035000000011</v>
      </c>
      <c r="J8" s="53"/>
      <c r="K8" s="53"/>
    </row>
    <row r="9" spans="2:19">
      <c r="B9" s="7" t="s">
        <v>39</v>
      </c>
      <c r="C9" s="17"/>
      <c r="D9" s="11">
        <f>+'2013'!Q9</f>
        <v>14443.530999999999</v>
      </c>
      <c r="E9" s="51">
        <f t="shared" si="1"/>
        <v>0.4789405070189578</v>
      </c>
      <c r="F9" s="14">
        <f>+'2014'!Q9</f>
        <v>16352.707</v>
      </c>
      <c r="G9" s="51">
        <f t="shared" si="2"/>
        <v>0.52970541625313561</v>
      </c>
      <c r="H9" s="83">
        <f t="shared" si="0"/>
        <v>1.1321820820684361</v>
      </c>
      <c r="I9" s="84">
        <f t="shared" si="3"/>
        <v>1909.1760000000013</v>
      </c>
      <c r="J9" s="53"/>
      <c r="K9" s="53"/>
    </row>
    <row r="10" spans="2:19">
      <c r="B10" s="10" t="s">
        <v>7</v>
      </c>
      <c r="C10" s="17"/>
      <c r="D10" s="8">
        <f>+'2013'!Q10</f>
        <v>656.79499999999871</v>
      </c>
      <c r="E10" s="52">
        <f>+D10/$D$5</f>
        <v>2.1779004753582472E-2</v>
      </c>
      <c r="F10" s="8">
        <f>+'2014'!Q10</f>
        <v>2070.9396499999984</v>
      </c>
      <c r="G10" s="52">
        <f>+F10/$F$5</f>
        <v>6.7082957539590982E-2</v>
      </c>
      <c r="H10" s="85">
        <f t="shared" si="0"/>
        <v>3.1530989882687939</v>
      </c>
      <c r="I10" s="82">
        <f>+F10-D10</f>
        <v>1414.1446499999997</v>
      </c>
      <c r="J10" s="53"/>
      <c r="K10" s="53"/>
    </row>
    <row r="11" spans="2:19">
      <c r="B11" s="7" t="s">
        <v>5</v>
      </c>
      <c r="C11" s="17"/>
      <c r="D11" s="11">
        <f>+'2013'!Q11</f>
        <v>28899.124689999997</v>
      </c>
      <c r="E11" s="51">
        <f>+D11/$D$5</f>
        <v>0.95828100700809804</v>
      </c>
      <c r="F11" s="14">
        <f>+'2014'!Q11</f>
        <v>27802.171000000002</v>
      </c>
      <c r="G11" s="51">
        <f>+F11/$F$5</f>
        <v>0.90058242725781468</v>
      </c>
      <c r="H11" s="83">
        <f t="shared" si="0"/>
        <v>0.96204197525817881</v>
      </c>
      <c r="I11" s="84">
        <f>+F11-D11</f>
        <v>-1096.9536899999948</v>
      </c>
      <c r="J11" s="53"/>
      <c r="K11" s="53"/>
    </row>
    <row r="12" spans="2:19">
      <c r="B12" s="19" t="s">
        <v>15</v>
      </c>
      <c r="C12" s="17"/>
      <c r="D12" s="15">
        <f>+D5-D6-D11-D7-D8-D9</f>
        <v>-28242.329689999999</v>
      </c>
      <c r="E12" s="50">
        <f>+D12/$D$5</f>
        <v>-0.93650200225451563</v>
      </c>
      <c r="F12" s="15">
        <f>+F5-F6-F11-F7-F8-F9</f>
        <v>-25731.231350000002</v>
      </c>
      <c r="G12" s="50">
        <f>+F12/$F$5</f>
        <v>-0.83349946971822364</v>
      </c>
      <c r="H12" s="85">
        <f t="shared" si="0"/>
        <v>0.91108742205183157</v>
      </c>
      <c r="I12" s="82">
        <f>+F12-D12</f>
        <v>2511.0983399999968</v>
      </c>
      <c r="J12" s="53"/>
      <c r="K12" s="53"/>
    </row>
    <row r="13" spans="2:19" ht="7.5" customHeight="1">
      <c r="B13" s="17"/>
      <c r="C13" s="17"/>
      <c r="D13" s="33"/>
      <c r="E13" s="53"/>
      <c r="F13" s="29"/>
      <c r="G13" s="53"/>
      <c r="H13" s="86"/>
      <c r="I13" s="53"/>
      <c r="J13" s="53"/>
      <c r="K13" s="53"/>
    </row>
    <row r="14" spans="2:19">
      <c r="B14" s="18" t="s">
        <v>18</v>
      </c>
      <c r="C14" s="17"/>
      <c r="D14" s="11">
        <f>+'2013'!Q14</f>
        <v>78.63</v>
      </c>
      <c r="E14" s="87"/>
      <c r="F14" s="14">
        <f>+'2014'!Q14</f>
        <v>79.102222222222224</v>
      </c>
      <c r="G14" s="53"/>
      <c r="H14" s="83">
        <f t="shared" si="0"/>
        <v>1.0060056240903246</v>
      </c>
      <c r="I14" s="84">
        <f t="shared" ref="I14:I19" si="4">+F14-D14</f>
        <v>0.47222222222222854</v>
      </c>
      <c r="J14" s="53"/>
      <c r="K14" s="53"/>
    </row>
    <row r="15" spans="2:19">
      <c r="B15" s="18" t="s">
        <v>16</v>
      </c>
      <c r="C15" s="17"/>
      <c r="D15" s="11">
        <f>+'2013'!Q15</f>
        <v>16046.012000000001</v>
      </c>
      <c r="E15" s="87"/>
      <c r="F15" s="14">
        <f>+'2014'!Q15</f>
        <v>16392.025999999998</v>
      </c>
      <c r="G15" s="53"/>
      <c r="H15" s="83">
        <f t="shared" si="0"/>
        <v>1.0215638627217778</v>
      </c>
      <c r="I15" s="84">
        <f t="shared" si="4"/>
        <v>346.0139999999974</v>
      </c>
      <c r="J15" s="53"/>
      <c r="K15" s="53"/>
    </row>
    <row r="16" spans="2:19">
      <c r="B16" s="19" t="s">
        <v>19</v>
      </c>
      <c r="C16" s="17"/>
      <c r="D16" s="34">
        <f>+D15/D5</f>
        <v>0.53207800245745185</v>
      </c>
      <c r="E16" s="53"/>
      <c r="F16" s="34">
        <f>+F15/F5</f>
        <v>0.53097905781362198</v>
      </c>
      <c r="G16" s="53"/>
      <c r="H16" s="81">
        <f t="shared" si="0"/>
        <v>0.99793461740805989</v>
      </c>
      <c r="I16" s="50">
        <f t="shared" si="4"/>
        <v>-1.0989446438298689E-3</v>
      </c>
      <c r="J16" s="53"/>
      <c r="K16" s="53"/>
    </row>
    <row r="17" spans="1:11">
      <c r="B17" s="19" t="s">
        <v>17</v>
      </c>
      <c r="C17" s="17"/>
      <c r="D17" s="8">
        <f>+D5/D14</f>
        <v>383.53370214930686</v>
      </c>
      <c r="E17" s="53"/>
      <c r="F17" s="8">
        <f>+F5/F14</f>
        <v>390.27124817395213</v>
      </c>
      <c r="G17" s="53"/>
      <c r="H17" s="81">
        <f t="shared" si="0"/>
        <v>1.0175670247148774</v>
      </c>
      <c r="I17" s="82">
        <f t="shared" si="4"/>
        <v>6.737546024645269</v>
      </c>
      <c r="J17" s="53"/>
      <c r="K17" s="53"/>
    </row>
    <row r="18" spans="1:11">
      <c r="B18" s="10" t="s">
        <v>33</v>
      </c>
      <c r="C18" s="17"/>
      <c r="D18" s="8">
        <f>+D15/D14</f>
        <v>204.06984611471449</v>
      </c>
      <c r="E18" s="53"/>
      <c r="F18" s="8">
        <f>+F15/F14</f>
        <v>207.22585964715134</v>
      </c>
      <c r="G18" s="53"/>
      <c r="H18" s="81">
        <f t="shared" si="0"/>
        <v>1.0154653594958989</v>
      </c>
      <c r="I18" s="82">
        <f t="shared" si="4"/>
        <v>3.1560135324368446</v>
      </c>
      <c r="J18" s="53"/>
      <c r="K18" s="53"/>
    </row>
    <row r="19" spans="1:11">
      <c r="B19" s="19" t="s">
        <v>20</v>
      </c>
      <c r="C19" s="17"/>
      <c r="D19" s="34">
        <f>+D15/D10</f>
        <v>24.430776726375857</v>
      </c>
      <c r="E19" s="53"/>
      <c r="F19" s="34">
        <f>+F15/F10</f>
        <v>7.9152601091007213</v>
      </c>
      <c r="G19" s="53"/>
      <c r="H19" s="81">
        <f t="shared" si="0"/>
        <v>0.32398724763242093</v>
      </c>
      <c r="I19" s="50">
        <f t="shared" si="4"/>
        <v>-16.515516617275136</v>
      </c>
      <c r="J19" s="53"/>
      <c r="K19" s="53"/>
    </row>
    <row r="20" spans="1:11" ht="7.5" customHeight="1">
      <c r="B20" s="7"/>
      <c r="C20" s="17"/>
      <c r="D20" s="33"/>
      <c r="E20" s="53"/>
      <c r="F20" s="29"/>
      <c r="G20" s="53"/>
      <c r="H20" s="86"/>
      <c r="I20" s="53"/>
      <c r="J20" s="53"/>
      <c r="K20" s="53"/>
    </row>
    <row r="21" spans="1:11">
      <c r="A21">
        <v>1</v>
      </c>
      <c r="B21" s="18" t="s">
        <v>40</v>
      </c>
      <c r="C21" s="17"/>
      <c r="D21" s="11">
        <f>+'2013'!Q21</f>
        <v>327354</v>
      </c>
      <c r="E21" s="102" t="s">
        <v>58</v>
      </c>
      <c r="F21" s="96">
        <f>+'2014'!Q21</f>
        <v>305943</v>
      </c>
      <c r="G21" s="102" t="s">
        <v>58</v>
      </c>
      <c r="H21" s="83">
        <f t="shared" si="0"/>
        <v>0.93459374255393246</v>
      </c>
      <c r="I21" s="84">
        <f t="shared" ref="I21:I38" si="5">+F21-D21</f>
        <v>-21411</v>
      </c>
      <c r="J21" s="102" t="s">
        <v>58</v>
      </c>
      <c r="K21" s="102" t="s">
        <v>58</v>
      </c>
    </row>
    <row r="22" spans="1:11">
      <c r="B22" s="19" t="s">
        <v>41</v>
      </c>
      <c r="C22" s="17"/>
      <c r="D22" s="88">
        <f>+'2013'!Q22</f>
        <v>32.327967277015098</v>
      </c>
      <c r="E22" s="54">
        <f>+D22*D21/1000</f>
        <v>10582.689400000001</v>
      </c>
      <c r="F22" s="90">
        <f>+'2014'!Q22</f>
        <v>33.808153806427995</v>
      </c>
      <c r="G22" s="54">
        <f>+F22*F21/1000</f>
        <v>10343.368</v>
      </c>
      <c r="H22" s="83">
        <f t="shared" si="0"/>
        <v>1.0457865635884041</v>
      </c>
      <c r="I22" s="84">
        <f t="shared" si="5"/>
        <v>1.4801865294128973</v>
      </c>
      <c r="J22" s="103">
        <f>+G22/E22</f>
        <v>0.97738557837670259</v>
      </c>
      <c r="K22" s="84">
        <f>+G22-E22</f>
        <v>-239.32140000000072</v>
      </c>
    </row>
    <row r="23" spans="1:11">
      <c r="B23" s="19" t="s">
        <v>42</v>
      </c>
      <c r="C23" s="17"/>
      <c r="D23" s="88">
        <f>+D6/D21*1000</f>
        <v>39.0529640694783</v>
      </c>
      <c r="E23" s="55"/>
      <c r="F23" s="90">
        <f>+F6/F21*1000</f>
        <v>33.33247369608064</v>
      </c>
      <c r="G23" s="60"/>
      <c r="H23" s="83">
        <f t="shared" si="0"/>
        <v>0.85351968769334752</v>
      </c>
      <c r="I23" s="84">
        <f t="shared" si="5"/>
        <v>-5.7204903733976593</v>
      </c>
      <c r="J23" s="53"/>
      <c r="K23" s="53"/>
    </row>
    <row r="24" spans="1:11">
      <c r="B24" s="19" t="s">
        <v>48</v>
      </c>
      <c r="C24" s="17"/>
      <c r="D24" s="92">
        <f>+D22-D23-D38*D23</f>
        <v>-44.981907978185156</v>
      </c>
      <c r="E24" s="55"/>
      <c r="F24" s="97">
        <f>+F22-F23-F38*F23</f>
        <v>-31.701500390669693</v>
      </c>
      <c r="G24" s="60"/>
      <c r="H24" s="83">
        <f t="shared" si="0"/>
        <v>0.70476113209879732</v>
      </c>
      <c r="I24" s="84">
        <f t="shared" si="5"/>
        <v>13.280407587515462</v>
      </c>
      <c r="J24" s="53"/>
      <c r="K24" s="53"/>
    </row>
    <row r="25" spans="1:11">
      <c r="A25">
        <v>2</v>
      </c>
      <c r="B25" s="18" t="s">
        <v>43</v>
      </c>
      <c r="C25" s="17"/>
      <c r="D25" s="11">
        <f>+'2013'!Q25</f>
        <v>42791</v>
      </c>
      <c r="E25" s="102" t="s">
        <v>58</v>
      </c>
      <c r="F25" s="96">
        <f>+'2014'!Q25</f>
        <v>44072</v>
      </c>
      <c r="G25" s="102" t="s">
        <v>58</v>
      </c>
      <c r="H25" s="81">
        <f t="shared" si="0"/>
        <v>1.0299362015377065</v>
      </c>
      <c r="I25" s="82">
        <f t="shared" si="5"/>
        <v>1281</v>
      </c>
      <c r="J25" s="102" t="s">
        <v>58</v>
      </c>
      <c r="K25" s="102" t="s">
        <v>58</v>
      </c>
    </row>
    <row r="26" spans="1:11">
      <c r="B26" s="19" t="s">
        <v>44</v>
      </c>
      <c r="C26" s="17"/>
      <c r="D26" s="88">
        <f>+'2013'!Q26</f>
        <v>71.100161248860744</v>
      </c>
      <c r="E26" s="54">
        <f>+D26*D25/1000</f>
        <v>3042.4470000000001</v>
      </c>
      <c r="F26" s="90">
        <f>+'2014'!Q26</f>
        <v>62.45922535850427</v>
      </c>
      <c r="G26" s="54">
        <f>+F26*F25/1000</f>
        <v>2752.70298</v>
      </c>
      <c r="H26" s="81">
        <f t="shared" si="0"/>
        <v>0.87846812526750873</v>
      </c>
      <c r="I26" s="82">
        <f t="shared" si="5"/>
        <v>-8.6409358903564737</v>
      </c>
      <c r="J26" s="103">
        <f>+G26/E26</f>
        <v>0.90476612410996804</v>
      </c>
      <c r="K26" s="84">
        <f>+G26-E26</f>
        <v>-289.74402000000009</v>
      </c>
    </row>
    <row r="27" spans="1:11" ht="15" customHeight="1">
      <c r="B27" s="19" t="s">
        <v>45</v>
      </c>
      <c r="C27" s="38"/>
      <c r="D27" s="88">
        <f>+D7/D25*1000</f>
        <v>34.171110747587107</v>
      </c>
      <c r="E27" s="53"/>
      <c r="F27" s="90">
        <f>+F7/F25*1000</f>
        <v>29.562080232347071</v>
      </c>
      <c r="G27" s="53"/>
      <c r="H27" s="81">
        <f t="shared" si="0"/>
        <v>0.86511908994455233</v>
      </c>
      <c r="I27" s="82">
        <f t="shared" si="5"/>
        <v>-4.6090305152400362</v>
      </c>
      <c r="J27" s="53"/>
      <c r="K27" s="53"/>
    </row>
    <row r="28" spans="1:11">
      <c r="B28" s="19" t="s">
        <v>57</v>
      </c>
      <c r="C28" s="39"/>
      <c r="D28" s="92">
        <f>+D26-D27-D38*D27</f>
        <v>3.4544812813252364</v>
      </c>
      <c r="E28" s="53"/>
      <c r="F28" s="97">
        <f>+F26-F27-F38*F27</f>
        <v>4.3596774213937088</v>
      </c>
      <c r="G28" s="53"/>
      <c r="H28" s="81">
        <f t="shared" si="0"/>
        <v>1.2620353292871842</v>
      </c>
      <c r="I28" s="82">
        <f t="shared" si="5"/>
        <v>0.90519614006847249</v>
      </c>
      <c r="J28" s="38"/>
      <c r="K28" s="38"/>
    </row>
    <row r="29" spans="1:11">
      <c r="A29">
        <v>3</v>
      </c>
      <c r="B29" s="18" t="s">
        <v>46</v>
      </c>
      <c r="D29" s="11">
        <f>+'2013'!Q29</f>
        <v>23343</v>
      </c>
      <c r="E29" s="102" t="s">
        <v>58</v>
      </c>
      <c r="F29" s="96">
        <f>+'2014'!Q29</f>
        <v>27112</v>
      </c>
      <c r="G29" s="102" t="s">
        <v>58</v>
      </c>
      <c r="H29" s="83">
        <f t="shared" si="0"/>
        <v>1.1614616801610762</v>
      </c>
      <c r="I29" s="84">
        <f t="shared" si="5"/>
        <v>3769</v>
      </c>
      <c r="J29" s="102" t="s">
        <v>58</v>
      </c>
      <c r="K29" s="102" t="s">
        <v>58</v>
      </c>
    </row>
    <row r="30" spans="1:11">
      <c r="B30" s="19" t="s">
        <v>49</v>
      </c>
      <c r="D30" s="88">
        <f>+'2013'!Q30</f>
        <v>52.674292078995833</v>
      </c>
      <c r="E30" s="54">
        <f>+D30*D29/1000</f>
        <v>1229.5759999999998</v>
      </c>
      <c r="F30" s="90">
        <f>+'2014'!Q30</f>
        <v>51.0819581735025</v>
      </c>
      <c r="G30" s="54">
        <f>+F30*F29/1000</f>
        <v>1384.9340499999998</v>
      </c>
      <c r="H30" s="81">
        <f t="shared" si="0"/>
        <v>0.96977018878383203</v>
      </c>
      <c r="I30" s="82">
        <f t="shared" si="5"/>
        <v>-1.5923339054933336</v>
      </c>
      <c r="J30" s="103">
        <f>+G30/E30</f>
        <v>1.1263509128349936</v>
      </c>
      <c r="K30" s="84">
        <f>+G30-E30</f>
        <v>155.35805000000005</v>
      </c>
    </row>
    <row r="31" spans="1:11">
      <c r="B31" s="19" t="s">
        <v>50</v>
      </c>
      <c r="D31" s="88">
        <f>+D8/D29*1000</f>
        <v>34.724285653086575</v>
      </c>
      <c r="F31" s="90">
        <f>+F8/F29*1000</f>
        <v>34.928420994393633</v>
      </c>
      <c r="H31" s="81">
        <f t="shared" si="0"/>
        <v>1.0058787484743812</v>
      </c>
      <c r="I31" s="82">
        <f t="shared" si="5"/>
        <v>0.20413534130705813</v>
      </c>
    </row>
    <row r="32" spans="1:11">
      <c r="B32" s="19" t="s">
        <v>55</v>
      </c>
      <c r="D32" s="92">
        <f>+D30-D31-D38*D31</f>
        <v>-16.066461821017299</v>
      </c>
      <c r="F32" s="97">
        <f>+F30-F31-F38*F31</f>
        <v>-17.56427558209252</v>
      </c>
      <c r="H32" s="81">
        <f t="shared" si="0"/>
        <v>1.0932261114961765</v>
      </c>
      <c r="I32" s="82">
        <f t="shared" si="5"/>
        <v>-1.4978137610752214</v>
      </c>
    </row>
    <row r="33" spans="1:11">
      <c r="A33">
        <v>4</v>
      </c>
      <c r="B33" s="18" t="s">
        <v>47</v>
      </c>
      <c r="D33" s="11">
        <f>+'2013'!Q33</f>
        <v>218480</v>
      </c>
      <c r="E33" s="102" t="s">
        <v>58</v>
      </c>
      <c r="F33" s="96">
        <f>+'2014'!Q33</f>
        <v>227872</v>
      </c>
      <c r="G33" s="102" t="s">
        <v>58</v>
      </c>
      <c r="H33" s="83">
        <f t="shared" si="0"/>
        <v>1.0429879165140974</v>
      </c>
      <c r="I33" s="84">
        <f t="shared" si="5"/>
        <v>9392</v>
      </c>
      <c r="J33" s="102" t="s">
        <v>58</v>
      </c>
      <c r="K33" s="102" t="s">
        <v>58</v>
      </c>
    </row>
    <row r="34" spans="1:11">
      <c r="B34" s="19" t="s">
        <v>51</v>
      </c>
      <c r="D34" s="88">
        <f>+'2013'!Q34</f>
        <v>66.109172006590981</v>
      </c>
      <c r="E34" s="54">
        <f>+D34*D33/1000</f>
        <v>14443.531899999996</v>
      </c>
      <c r="F34" s="90">
        <f>+'2014'!Q34</f>
        <v>71.762696031105193</v>
      </c>
      <c r="G34" s="54">
        <f>+F34*F33/1000</f>
        <v>16352.709070000003</v>
      </c>
      <c r="H34" s="81">
        <f t="shared" si="0"/>
        <v>1.0855179977742055</v>
      </c>
      <c r="I34" s="82">
        <f t="shared" si="5"/>
        <v>5.653524024514212</v>
      </c>
      <c r="J34" s="103">
        <f>+G34/E34</f>
        <v>1.1321821548370732</v>
      </c>
      <c r="K34" s="84">
        <f>+G34-E34</f>
        <v>1909.1771700000063</v>
      </c>
    </row>
    <row r="35" spans="1:11">
      <c r="B35" s="19" t="s">
        <v>52</v>
      </c>
      <c r="D35" s="88">
        <f>+D9/D33*1000</f>
        <v>66.109167887220792</v>
      </c>
      <c r="F35" s="90">
        <f>+F9/F33*1000</f>
        <v>71.762686947058</v>
      </c>
      <c r="H35" s="81">
        <f t="shared" si="0"/>
        <v>1.0855179280048095</v>
      </c>
      <c r="I35" s="82">
        <f t="shared" si="5"/>
        <v>5.6535190598372083</v>
      </c>
    </row>
    <row r="36" spans="1:11">
      <c r="B36" s="19" t="s">
        <v>56</v>
      </c>
      <c r="D36" s="92">
        <f>+D34-D35-D38*D35</f>
        <v>-64.761599120882252</v>
      </c>
      <c r="F36" s="97">
        <f>+F34-F35-F38*F35</f>
        <v>-69.275405401766406</v>
      </c>
      <c r="H36" s="81">
        <f t="shared" si="0"/>
        <v>1.0696988082777079</v>
      </c>
      <c r="I36" s="82">
        <f t="shared" si="5"/>
        <v>-4.5138062808841539</v>
      </c>
    </row>
    <row r="37" spans="1:11">
      <c r="B37" s="19" t="s">
        <v>54</v>
      </c>
      <c r="D37" s="34">
        <f>+D15/(D6+D7+D8+D9)</f>
        <v>0.54392412864070594</v>
      </c>
      <c r="F37" s="36">
        <f>+F15/(F6+F7+F8+F9)</f>
        <v>0.569159993490156</v>
      </c>
      <c r="H37" s="81">
        <f t="shared" si="0"/>
        <v>1.046395928256604</v>
      </c>
      <c r="I37" s="82">
        <f t="shared" si="5"/>
        <v>2.5235864849450063E-2</v>
      </c>
    </row>
    <row r="38" spans="1:11">
      <c r="B38" s="19" t="s">
        <v>53</v>
      </c>
      <c r="D38" s="34">
        <f>+D11/(D6+D7+D8+D9)</f>
        <v>0.9796160700545008</v>
      </c>
      <c r="F38" s="36">
        <f>+F11/(F6+F7+F8+F9)</f>
        <v>0.96534031030527945</v>
      </c>
      <c r="H38" s="81">
        <f t="shared" si="0"/>
        <v>0.98542718909416516</v>
      </c>
      <c r="I38" s="82">
        <f t="shared" si="5"/>
        <v>-1.4275759749221351E-2</v>
      </c>
    </row>
    <row r="39" spans="1:11" ht="7.5" customHeight="1">
      <c r="B39" s="17"/>
      <c r="F39" s="98"/>
      <c r="H39" s="26"/>
    </row>
    <row r="40" spans="1:11">
      <c r="B40" s="21" t="s">
        <v>35</v>
      </c>
      <c r="D40" s="22">
        <f>+D11/(1-(D6+D7+D8+D9)/D5)</f>
        <v>1326925.8635542749</v>
      </c>
      <c r="F40" s="32">
        <f>+F11/(1-(F6+F7+F8+F9)/F5)</f>
        <v>414444.62229608331</v>
      </c>
      <c r="H40" s="100">
        <f t="shared" ref="H40" si="6">+F40/D40</f>
        <v>0.3123344217482964</v>
      </c>
      <c r="I40" s="99">
        <f t="shared" ref="I40" si="7">+F40-D40</f>
        <v>-912481.24125819164</v>
      </c>
    </row>
    <row r="41" spans="1:11">
      <c r="F41" s="12"/>
    </row>
    <row r="42" spans="1:11">
      <c r="F42" s="12"/>
    </row>
    <row r="43" spans="1:11">
      <c r="F43" s="12"/>
    </row>
    <row r="44" spans="1:11">
      <c r="F44" s="12"/>
    </row>
    <row r="45" spans="1:11">
      <c r="F45" s="12"/>
    </row>
    <row r="46" spans="1:11">
      <c r="F46" s="12"/>
    </row>
    <row r="47" spans="1:11">
      <c r="F47" s="12"/>
    </row>
    <row r="48" spans="1:11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  <row r="78" spans="6:6">
      <c r="F78" s="12"/>
    </row>
    <row r="79" spans="6:6">
      <c r="F79" s="12"/>
    </row>
    <row r="80" spans="6:6">
      <c r="F80" s="12"/>
    </row>
  </sheetData>
  <pageMargins left="0.19685039370078741" right="0.15748031496062992" top="0.17" bottom="0.16" header="0.17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80"/>
  <sheetViews>
    <sheetView workbookViewId="0">
      <pane xSplit="3" ySplit="4" topLeftCell="D18" activePane="bottomRight" state="frozen"/>
      <selection pane="topRight" activeCell="C1" sqref="C1"/>
      <selection pane="bottomLeft" activeCell="A5" sqref="A5"/>
      <selection pane="bottomRight" activeCell="D24" sqref="D24"/>
    </sheetView>
  </sheetViews>
  <sheetFormatPr defaultRowHeight="15"/>
  <cols>
    <col min="1" max="1" width="1.7109375" customWidth="1"/>
    <col min="2" max="2" width="27.425781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9" width="11.7109375" customWidth="1"/>
    <col min="10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20" width="13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19" ht="15.75">
      <c r="B1" s="2" t="s">
        <v>0</v>
      </c>
      <c r="H1" s="26"/>
    </row>
    <row r="2" spans="2:19">
      <c r="B2" s="41" t="s">
        <v>34</v>
      </c>
      <c r="D2" s="3" t="s">
        <v>2</v>
      </c>
      <c r="E2" s="5" t="s">
        <v>21</v>
      </c>
      <c r="F2" s="3" t="s">
        <v>2</v>
      </c>
      <c r="G2" s="5" t="s">
        <v>21</v>
      </c>
      <c r="H2" s="27" t="s">
        <v>28</v>
      </c>
      <c r="I2" s="1" t="s">
        <v>29</v>
      </c>
      <c r="J2" s="3"/>
      <c r="K2" s="5"/>
      <c r="L2" s="3"/>
      <c r="M2" s="5"/>
      <c r="N2" s="3"/>
      <c r="Q2" s="3"/>
      <c r="R2" s="5"/>
      <c r="S2" s="1"/>
    </row>
    <row r="3" spans="2:19">
      <c r="B3" s="43" t="s">
        <v>1</v>
      </c>
      <c r="D3" s="4" t="s">
        <v>24</v>
      </c>
      <c r="E3" s="24"/>
      <c r="F3" s="4" t="s">
        <v>6</v>
      </c>
      <c r="G3" s="6"/>
      <c r="H3" s="28" t="s">
        <v>30</v>
      </c>
      <c r="I3" s="25" t="s">
        <v>31</v>
      </c>
      <c r="J3" s="4"/>
      <c r="K3" s="6"/>
      <c r="L3" s="4"/>
      <c r="M3" s="6"/>
      <c r="N3" s="4"/>
      <c r="Q3" s="4"/>
      <c r="R3" s="6"/>
    </row>
    <row r="4" spans="2:19">
      <c r="B4" s="44">
        <v>9501</v>
      </c>
      <c r="D4" s="23" t="s">
        <v>22</v>
      </c>
      <c r="E4" s="3"/>
      <c r="F4" s="23" t="s">
        <v>22</v>
      </c>
      <c r="G4" s="3"/>
      <c r="H4" s="26"/>
    </row>
    <row r="5" spans="2:19">
      <c r="B5" s="10" t="s">
        <v>4</v>
      </c>
      <c r="C5" s="17"/>
      <c r="D5" s="8">
        <f>+'2013'!H5</f>
        <v>3554.3209999999999</v>
      </c>
      <c r="E5" s="50">
        <f>+D5/$D$5</f>
        <v>1</v>
      </c>
      <c r="F5" s="13">
        <f>+'2014'!H5</f>
        <v>3516.8679999999995</v>
      </c>
      <c r="G5" s="50">
        <f>+F5/$F$5</f>
        <v>1</v>
      </c>
      <c r="H5" s="81">
        <f t="shared" ref="H5:H26" si="0">+F5/D5</f>
        <v>0.98946268499665602</v>
      </c>
      <c r="I5" s="82">
        <f>+F5-D5</f>
        <v>-37.453000000000429</v>
      </c>
      <c r="J5" s="53"/>
      <c r="K5" s="53"/>
    </row>
    <row r="6" spans="2:19">
      <c r="B6" s="7" t="s">
        <v>36</v>
      </c>
      <c r="C6" s="17"/>
      <c r="D6" s="11">
        <f>+'2013'!H6</f>
        <v>1429.36</v>
      </c>
      <c r="E6" s="51">
        <f>+D6/$D$5</f>
        <v>0.40214713302484495</v>
      </c>
      <c r="F6" s="14">
        <f>+'2014'!H6</f>
        <v>1119.9949999999999</v>
      </c>
      <c r="G6" s="51">
        <f>+F6/$F$5</f>
        <v>0.31846375809384941</v>
      </c>
      <c r="H6" s="83">
        <f t="shared" si="0"/>
        <v>0.78356397268707667</v>
      </c>
      <c r="I6" s="84">
        <f>+F6-D6</f>
        <v>-309.36500000000001</v>
      </c>
      <c r="J6" s="53"/>
      <c r="K6" s="53"/>
    </row>
    <row r="7" spans="2:19">
      <c r="B7" s="7" t="s">
        <v>37</v>
      </c>
      <c r="C7" s="17"/>
      <c r="D7" s="11">
        <f>+'2013'!H7</f>
        <v>173.821</v>
      </c>
      <c r="E7" s="51">
        <f t="shared" ref="E7:E9" si="1">+D7/$D$5</f>
        <v>4.8904136683208976E-2</v>
      </c>
      <c r="F7" s="14">
        <f>+'2014'!H7</f>
        <v>144.51499999999999</v>
      </c>
      <c r="G7" s="51">
        <f t="shared" ref="G7:G9" si="2">+F7/$F$5</f>
        <v>4.1091960232798048E-2</v>
      </c>
      <c r="H7" s="83">
        <f t="shared" ref="H7:H9" si="3">+F7/D7</f>
        <v>0.83140126912168255</v>
      </c>
      <c r="I7" s="84">
        <f t="shared" ref="I7:I9" si="4">+F7-D7</f>
        <v>-29.306000000000012</v>
      </c>
      <c r="J7" s="53"/>
      <c r="K7" s="53"/>
    </row>
    <row r="8" spans="2:19">
      <c r="B8" s="7" t="s">
        <v>38</v>
      </c>
      <c r="C8" s="17"/>
      <c r="D8" s="11">
        <f>+'2013'!H8</f>
        <v>122.259</v>
      </c>
      <c r="E8" s="51">
        <f t="shared" si="1"/>
        <v>3.4397287133041729E-2</v>
      </c>
      <c r="F8" s="14">
        <f>+'2014'!H8</f>
        <v>138.40600000000001</v>
      </c>
      <c r="G8" s="51">
        <f t="shared" si="2"/>
        <v>3.9354903283262271E-2</v>
      </c>
      <c r="H8" s="83">
        <f t="shared" si="3"/>
        <v>1.1320720764933461</v>
      </c>
      <c r="I8" s="84">
        <f t="shared" si="4"/>
        <v>16.147000000000006</v>
      </c>
      <c r="J8" s="53"/>
      <c r="K8" s="53"/>
    </row>
    <row r="9" spans="2:19">
      <c r="B9" s="7" t="s">
        <v>39</v>
      </c>
      <c r="C9" s="17"/>
      <c r="D9" s="11">
        <f>+'2013'!H9</f>
        <v>1596.7919999999999</v>
      </c>
      <c r="E9" s="51">
        <f t="shared" si="1"/>
        <v>0.44925373932180013</v>
      </c>
      <c r="F9" s="14">
        <f>+'2014'!H9</f>
        <v>1780.578</v>
      </c>
      <c r="G9" s="51">
        <f t="shared" si="2"/>
        <v>0.50629651155516786</v>
      </c>
      <c r="H9" s="83">
        <f t="shared" si="3"/>
        <v>1.1150970195241459</v>
      </c>
      <c r="I9" s="84">
        <f t="shared" si="4"/>
        <v>183.78600000000006</v>
      </c>
      <c r="J9" s="53"/>
      <c r="K9" s="53"/>
    </row>
    <row r="10" spans="2:19">
      <c r="B10" s="10" t="s">
        <v>7</v>
      </c>
      <c r="C10" s="17"/>
      <c r="D10" s="8">
        <f>+'2013'!H10</f>
        <v>232.0890000000004</v>
      </c>
      <c r="E10" s="52">
        <f>+D10/$D$5</f>
        <v>6.5297703837104301E-2</v>
      </c>
      <c r="F10" s="8">
        <f>+'2014'!H10</f>
        <v>333.3739999999998</v>
      </c>
      <c r="G10" s="52">
        <f>+F10/$F$5</f>
        <v>9.4792866834922399E-2</v>
      </c>
      <c r="H10" s="85">
        <f t="shared" si="0"/>
        <v>1.4364058615444903</v>
      </c>
      <c r="I10" s="82">
        <f>+F10-D10</f>
        <v>101.2849999999994</v>
      </c>
      <c r="J10" s="53"/>
      <c r="K10" s="53"/>
    </row>
    <row r="11" spans="2:19">
      <c r="B11" s="7" t="s">
        <v>5</v>
      </c>
      <c r="C11" s="17"/>
      <c r="D11" s="11">
        <f>+'2013'!H11</f>
        <v>3257.8086899999998</v>
      </c>
      <c r="E11" s="51">
        <f>+D11/$D$5</f>
        <v>0.91657694676423429</v>
      </c>
      <c r="F11" s="14">
        <f>+'2014'!H11</f>
        <v>2914.5619999999999</v>
      </c>
      <c r="G11" s="51">
        <f>+F11/$F$5</f>
        <v>0.82873795661366889</v>
      </c>
      <c r="H11" s="83">
        <f t="shared" si="0"/>
        <v>0.89463878248786921</v>
      </c>
      <c r="I11" s="84">
        <f>+F11-D11</f>
        <v>-343.24668999999994</v>
      </c>
      <c r="J11" s="53"/>
      <c r="K11" s="53"/>
    </row>
    <row r="12" spans="2:19">
      <c r="B12" s="19" t="s">
        <v>15</v>
      </c>
      <c r="C12" s="17"/>
      <c r="D12" s="15">
        <f>+D5-D6-D11-D7-D8-D9</f>
        <v>-3025.7196899999994</v>
      </c>
      <c r="E12" s="50">
        <f>+D12/$D$5</f>
        <v>-0.85127924292712998</v>
      </c>
      <c r="F12" s="15">
        <f>+F5-F6-F11-F7-F8-F9</f>
        <v>-2581.1880000000001</v>
      </c>
      <c r="G12" s="50">
        <f>+F12/$F$5</f>
        <v>-0.73394508977874651</v>
      </c>
      <c r="H12" s="85">
        <f t="shared" si="0"/>
        <v>0.85308232898467884</v>
      </c>
      <c r="I12" s="82">
        <f>+F12-D12</f>
        <v>444.53168999999934</v>
      </c>
      <c r="J12" s="53"/>
      <c r="K12" s="53"/>
    </row>
    <row r="13" spans="2:19" ht="7.5" customHeight="1">
      <c r="B13" s="17"/>
      <c r="C13" s="17"/>
      <c r="D13" s="33"/>
      <c r="E13" s="53"/>
      <c r="F13" s="29"/>
      <c r="G13" s="53"/>
      <c r="H13" s="86"/>
      <c r="I13" s="53"/>
      <c r="J13" s="53"/>
      <c r="K13" s="53"/>
    </row>
    <row r="14" spans="2:19">
      <c r="B14" s="18" t="s">
        <v>18</v>
      </c>
      <c r="C14" s="17"/>
      <c r="D14" s="11">
        <f>+'2013'!H14</f>
        <v>78.63</v>
      </c>
      <c r="E14" s="87"/>
      <c r="F14" s="14">
        <f>+'2014'!H14</f>
        <v>80.88</v>
      </c>
      <c r="G14" s="53"/>
      <c r="H14" s="83">
        <f t="shared" si="0"/>
        <v>1.02861503243037</v>
      </c>
      <c r="I14" s="84">
        <f t="shared" ref="I14:I19" si="5">+F14-D14</f>
        <v>2.25</v>
      </c>
      <c r="J14" s="53"/>
      <c r="K14" s="53"/>
    </row>
    <row r="15" spans="2:19">
      <c r="B15" s="18" t="s">
        <v>16</v>
      </c>
      <c r="C15" s="17"/>
      <c r="D15" s="11">
        <f>+'2013'!H15</f>
        <v>1724.251</v>
      </c>
      <c r="E15" s="87"/>
      <c r="F15" s="14">
        <f>+'2014'!H15</f>
        <v>1696.4490000000001</v>
      </c>
      <c r="G15" s="53"/>
      <c r="H15" s="83">
        <f t="shared" si="0"/>
        <v>0.98387589741864734</v>
      </c>
      <c r="I15" s="84">
        <f t="shared" si="5"/>
        <v>-27.801999999999907</v>
      </c>
      <c r="J15" s="53"/>
      <c r="K15" s="53"/>
    </row>
    <row r="16" spans="2:19">
      <c r="B16" s="19" t="s">
        <v>19</v>
      </c>
      <c r="C16" s="17"/>
      <c r="D16" s="34">
        <f>+D15/D5</f>
        <v>0.48511403443864526</v>
      </c>
      <c r="E16" s="53"/>
      <c r="F16" s="34">
        <f>+F15/F5</f>
        <v>0.4823749427047021</v>
      </c>
      <c r="G16" s="53"/>
      <c r="H16" s="81">
        <f t="shared" si="0"/>
        <v>0.99435371574621068</v>
      </c>
      <c r="I16" s="50">
        <f t="shared" si="5"/>
        <v>-2.7390917339431553E-3</v>
      </c>
      <c r="J16" s="53"/>
      <c r="K16" s="53"/>
    </row>
    <row r="17" spans="1:11">
      <c r="B17" s="19" t="s">
        <v>17</v>
      </c>
      <c r="C17" s="17"/>
      <c r="D17" s="8">
        <f>+D5/D14</f>
        <v>45.203115859086864</v>
      </c>
      <c r="E17" s="53"/>
      <c r="F17" s="8">
        <f>+F5/F14</f>
        <v>43.482542037586541</v>
      </c>
      <c r="G17" s="53"/>
      <c r="H17" s="81">
        <f t="shared" si="0"/>
        <v>0.96193683137100716</v>
      </c>
      <c r="I17" s="82">
        <f t="shared" si="5"/>
        <v>-1.7205738215003237</v>
      </c>
      <c r="J17" s="53"/>
      <c r="K17" s="53"/>
    </row>
    <row r="18" spans="1:11">
      <c r="B18" s="10" t="s">
        <v>33</v>
      </c>
      <c r="C18" s="17"/>
      <c r="D18" s="8">
        <f>+D15/D14</f>
        <v>21.928665903599136</v>
      </c>
      <c r="E18" s="53"/>
      <c r="F18" s="8">
        <f>+F15/F14</f>
        <v>20.974888724035612</v>
      </c>
      <c r="G18" s="53"/>
      <c r="H18" s="81">
        <f t="shared" si="0"/>
        <v>0.95650546258689728</v>
      </c>
      <c r="I18" s="82">
        <f t="shared" si="5"/>
        <v>-0.9537771795635237</v>
      </c>
      <c r="J18" s="53"/>
      <c r="K18" s="53"/>
    </row>
    <row r="19" spans="1:11">
      <c r="B19" s="19" t="s">
        <v>20</v>
      </c>
      <c r="C19" s="17"/>
      <c r="D19" s="34">
        <f>+D15/D10</f>
        <v>7.4292663590260508</v>
      </c>
      <c r="E19" s="53"/>
      <c r="F19" s="34">
        <f>+F15/F10</f>
        <v>5.0887261754066033</v>
      </c>
      <c r="G19" s="53"/>
      <c r="H19" s="81">
        <f t="shared" si="0"/>
        <v>0.68495675474391204</v>
      </c>
      <c r="I19" s="50">
        <f t="shared" si="5"/>
        <v>-2.3405401836194475</v>
      </c>
      <c r="J19" s="53"/>
      <c r="K19" s="53"/>
    </row>
    <row r="20" spans="1:11" ht="7.5" customHeight="1">
      <c r="B20" s="7"/>
      <c r="C20" s="17"/>
      <c r="D20" s="33"/>
      <c r="E20" s="53"/>
      <c r="F20" s="29"/>
      <c r="G20" s="53"/>
      <c r="H20" s="86"/>
      <c r="I20" s="53"/>
      <c r="J20" s="53"/>
      <c r="K20" s="53"/>
    </row>
    <row r="21" spans="1:11">
      <c r="A21">
        <v>1</v>
      </c>
      <c r="B21" s="18" t="s">
        <v>40</v>
      </c>
      <c r="C21" s="17"/>
      <c r="D21" s="11">
        <f>+'2013'!H21</f>
        <v>36799</v>
      </c>
      <c r="E21" s="102" t="s">
        <v>58</v>
      </c>
      <c r="F21" s="96">
        <f>+'2014'!H21</f>
        <v>33345</v>
      </c>
      <c r="G21" s="102" t="s">
        <v>58</v>
      </c>
      <c r="H21" s="83">
        <f t="shared" si="0"/>
        <v>0.90613875377048292</v>
      </c>
      <c r="I21" s="84">
        <f t="shared" ref="I21:I26" si="6">+F21-D21</f>
        <v>-3454</v>
      </c>
      <c r="J21" s="102" t="s">
        <v>58</v>
      </c>
      <c r="K21" s="102" t="s">
        <v>58</v>
      </c>
    </row>
    <row r="22" spans="1:11">
      <c r="B22" s="19" t="s">
        <v>41</v>
      </c>
      <c r="C22" s="17"/>
      <c r="D22" s="88">
        <f>+'2013'!H22</f>
        <v>32.235495529769828</v>
      </c>
      <c r="E22" s="54">
        <f>+D22*D21/1000</f>
        <v>1186.2339999999999</v>
      </c>
      <c r="F22" s="90">
        <f>+'2014'!H22</f>
        <v>35.78737441895337</v>
      </c>
      <c r="G22" s="54">
        <f>+F22*F21/1000</f>
        <v>1193.33</v>
      </c>
      <c r="H22" s="83">
        <f t="shared" si="0"/>
        <v>1.1101853354760234</v>
      </c>
      <c r="I22" s="84">
        <f t="shared" si="6"/>
        <v>3.5518788891835413</v>
      </c>
      <c r="J22" s="103">
        <f>+G22/E22</f>
        <v>1.0059819563425092</v>
      </c>
      <c r="K22" s="84">
        <f>+G22-E22</f>
        <v>7.0960000000000036</v>
      </c>
    </row>
    <row r="23" spans="1:11">
      <c r="B23" s="19" t="s">
        <v>42</v>
      </c>
      <c r="C23" s="17"/>
      <c r="D23" s="88">
        <f>+D6/D21*1000</f>
        <v>38.842359846734958</v>
      </c>
      <c r="E23" s="55"/>
      <c r="F23" s="90">
        <f>+F6/F21*1000</f>
        <v>33.588094167041533</v>
      </c>
      <c r="G23" s="55"/>
      <c r="H23" s="83">
        <f t="shared" ref="H23" si="7">+F23/D23</f>
        <v>0.8647284639649645</v>
      </c>
      <c r="I23" s="84">
        <f t="shared" ref="I23" si="8">+F23-D23</f>
        <v>-5.2542656796934253</v>
      </c>
      <c r="J23" s="53"/>
      <c r="K23" s="53"/>
    </row>
    <row r="24" spans="1:11">
      <c r="B24" s="19" t="s">
        <v>48</v>
      </c>
      <c r="C24" s="17"/>
      <c r="D24" s="92">
        <f>+D22-D23-D38*D23</f>
        <v>-44.696009641193001</v>
      </c>
      <c r="E24" s="55"/>
      <c r="F24" s="97">
        <f>+F22-F23-F38*F23</f>
        <v>-28.551392723027302</v>
      </c>
      <c r="G24" s="55"/>
      <c r="H24" s="83">
        <f t="shared" si="0"/>
        <v>0.63879064265982255</v>
      </c>
      <c r="I24" s="84">
        <f t="shared" si="6"/>
        <v>16.144616918165699</v>
      </c>
      <c r="J24" s="53"/>
      <c r="K24" s="53"/>
    </row>
    <row r="25" spans="1:11">
      <c r="A25">
        <v>2</v>
      </c>
      <c r="B25" s="18" t="s">
        <v>43</v>
      </c>
      <c r="C25" s="17"/>
      <c r="D25" s="11">
        <f>+'2013'!H25</f>
        <v>5068</v>
      </c>
      <c r="E25" s="102" t="s">
        <v>58</v>
      </c>
      <c r="F25" s="96">
        <f>+'2014'!H25</f>
        <v>5078</v>
      </c>
      <c r="G25" s="102" t="s">
        <v>58</v>
      </c>
      <c r="H25" s="81">
        <f t="shared" si="0"/>
        <v>1.0019731649565904</v>
      </c>
      <c r="I25" s="82">
        <f t="shared" si="6"/>
        <v>10</v>
      </c>
      <c r="J25" s="102" t="s">
        <v>58</v>
      </c>
      <c r="K25" s="102" t="s">
        <v>58</v>
      </c>
    </row>
    <row r="26" spans="1:11">
      <c r="B26" s="19" t="s">
        <v>44</v>
      </c>
      <c r="C26" s="17"/>
      <c r="D26" s="88">
        <f>+'2013'!H26</f>
        <v>71.809984214680341</v>
      </c>
      <c r="E26" s="54">
        <f>+D26*D25/1000</f>
        <v>363.93299999999994</v>
      </c>
      <c r="F26" s="90">
        <f>+'2014'!H26</f>
        <v>62.726069318629378</v>
      </c>
      <c r="G26" s="54">
        <f>+F26*F25/1000</f>
        <v>318.52297999999996</v>
      </c>
      <c r="H26" s="81">
        <f t="shared" si="0"/>
        <v>0.87350066992224862</v>
      </c>
      <c r="I26" s="82">
        <f t="shared" si="6"/>
        <v>-9.0839148960509633</v>
      </c>
      <c r="J26" s="103">
        <f>+G26/E26</f>
        <v>0.87522423083369749</v>
      </c>
      <c r="K26" s="84">
        <f>+G26-E26</f>
        <v>-45.410019999999975</v>
      </c>
    </row>
    <row r="27" spans="1:11" ht="15" customHeight="1">
      <c r="B27" s="19" t="s">
        <v>45</v>
      </c>
      <c r="C27" s="38"/>
      <c r="D27" s="88">
        <f>+D7/D25*1000</f>
        <v>34.297750591949487</v>
      </c>
      <c r="E27" s="53"/>
      <c r="F27" s="90">
        <f>+F7/F25*1000</f>
        <v>28.459038991729024</v>
      </c>
      <c r="G27" s="53"/>
      <c r="H27" s="81">
        <f t="shared" ref="H27:H29" si="9">+F27/D27</f>
        <v>0.82976400785913496</v>
      </c>
      <c r="I27" s="82">
        <f t="shared" ref="I27:I29" si="10">+F27-D27</f>
        <v>-5.8387116002204635</v>
      </c>
      <c r="J27" s="53"/>
      <c r="K27" s="53"/>
    </row>
    <row r="28" spans="1:11">
      <c r="B28" s="19" t="s">
        <v>57</v>
      </c>
      <c r="C28" s="39"/>
      <c r="D28" s="92">
        <f>+D26-D27-D38*D27</f>
        <v>3.8795704234402351</v>
      </c>
      <c r="E28" s="53"/>
      <c r="F28" s="97">
        <f>+F26-F27-F38*F27</f>
        <v>8.212125369701841</v>
      </c>
      <c r="G28" s="53"/>
      <c r="H28" s="81">
        <f t="shared" si="9"/>
        <v>2.1167615156782444</v>
      </c>
      <c r="I28" s="82">
        <f t="shared" si="10"/>
        <v>4.332554946261606</v>
      </c>
      <c r="J28" s="38"/>
      <c r="K28" s="38"/>
    </row>
    <row r="29" spans="1:11">
      <c r="A29">
        <v>3</v>
      </c>
      <c r="B29" s="18" t="s">
        <v>46</v>
      </c>
      <c r="D29" s="11">
        <f>+'2013'!H29</f>
        <v>3557</v>
      </c>
      <c r="E29" s="102" t="s">
        <v>58</v>
      </c>
      <c r="F29" s="96">
        <f>+'2014'!H29</f>
        <v>4239</v>
      </c>
      <c r="G29" s="102" t="s">
        <v>58</v>
      </c>
      <c r="H29" s="83">
        <f t="shared" si="9"/>
        <v>1.1917346078155748</v>
      </c>
      <c r="I29" s="84">
        <f t="shared" si="10"/>
        <v>682</v>
      </c>
      <c r="J29" s="102" t="s">
        <v>58</v>
      </c>
      <c r="K29" s="102" t="s">
        <v>58</v>
      </c>
    </row>
    <row r="30" spans="1:11">
      <c r="B30" s="19" t="s">
        <v>49</v>
      </c>
      <c r="D30" s="88">
        <f>+'2013'!H30</f>
        <v>52.321338206353666</v>
      </c>
      <c r="E30" s="54">
        <f>+D30*D29/1000</f>
        <v>186.107</v>
      </c>
      <c r="F30" s="90">
        <f>+'2014'!H30</f>
        <v>52.822139655579143</v>
      </c>
      <c r="G30" s="54">
        <f>+F30*F29/1000</f>
        <v>223.91305</v>
      </c>
      <c r="H30" s="81">
        <f t="shared" ref="H30:H33" si="11">+F30/D30</f>
        <v>1.0095716483253989</v>
      </c>
      <c r="I30" s="82">
        <f t="shared" ref="I30:I33" si="12">+F30-D30</f>
        <v>0.50080144922547731</v>
      </c>
      <c r="J30" s="103">
        <f>+G30/E30</f>
        <v>1.2031414723787928</v>
      </c>
      <c r="K30" s="84">
        <f>+G30-E30</f>
        <v>37.806049999999999</v>
      </c>
    </row>
    <row r="31" spans="1:11">
      <c r="B31" s="19" t="s">
        <v>50</v>
      </c>
      <c r="D31" s="88">
        <f>+D8/D29*1000</f>
        <v>34.371380376721959</v>
      </c>
      <c r="F31" s="90">
        <f>+F8/F29*1000</f>
        <v>32.650625147440437</v>
      </c>
      <c r="H31" s="81">
        <f t="shared" si="11"/>
        <v>0.94993639445313327</v>
      </c>
      <c r="I31" s="82">
        <f t="shared" si="12"/>
        <v>-1.7207552292815222</v>
      </c>
    </row>
    <row r="32" spans="1:11">
      <c r="B32" s="19" t="s">
        <v>55</v>
      </c>
      <c r="D32" s="92">
        <f>+D30-D31-D38*D31</f>
        <v>-15.754907356959798</v>
      </c>
      <c r="F32" s="97">
        <f>+F30-F31-F38*F31</f>
        <v>-9.7208840109017878</v>
      </c>
      <c r="H32" s="81">
        <f t="shared" si="11"/>
        <v>0.61700673895791236</v>
      </c>
      <c r="I32" s="82">
        <f t="shared" si="12"/>
        <v>6.0340233460580102</v>
      </c>
    </row>
    <row r="33" spans="1:11">
      <c r="A33">
        <v>4</v>
      </c>
      <c r="B33" s="18" t="s">
        <v>47</v>
      </c>
      <c r="D33" s="11">
        <f>+'2013'!H33</f>
        <v>24405</v>
      </c>
      <c r="E33" s="102" t="s">
        <v>58</v>
      </c>
      <c r="F33" s="96">
        <f>+'2014'!H33</f>
        <v>25085</v>
      </c>
      <c r="G33" s="102" t="s">
        <v>58</v>
      </c>
      <c r="H33" s="83">
        <f t="shared" si="11"/>
        <v>1.0278631427986069</v>
      </c>
      <c r="I33" s="84">
        <f t="shared" si="12"/>
        <v>680</v>
      </c>
      <c r="J33" s="102" t="s">
        <v>58</v>
      </c>
      <c r="K33" s="102" t="s">
        <v>58</v>
      </c>
    </row>
    <row r="34" spans="1:11">
      <c r="B34" s="19" t="s">
        <v>51</v>
      </c>
      <c r="D34" s="88">
        <f>+'2013'!H34</f>
        <v>65.428924400737543</v>
      </c>
      <c r="E34" s="54">
        <f>+D34*D33/1000</f>
        <v>1596.7928999999997</v>
      </c>
      <c r="F34" s="90">
        <f>+'2014'!H34</f>
        <v>70.981841339445879</v>
      </c>
      <c r="G34" s="54">
        <f>+F34*F33/1000</f>
        <v>1780.5794899999999</v>
      </c>
      <c r="H34" s="81">
        <f t="shared" ref="H34:H35" si="13">+F34/D34</f>
        <v>1.0848694516923121</v>
      </c>
      <c r="I34" s="82">
        <f t="shared" ref="I34:I35" si="14">+F34-D34</f>
        <v>5.5529169387083357</v>
      </c>
      <c r="J34" s="103">
        <f>+G34/E34</f>
        <v>1.1150973241426614</v>
      </c>
      <c r="K34" s="84">
        <f>+G34-E34</f>
        <v>183.78659000000016</v>
      </c>
    </row>
    <row r="35" spans="1:11">
      <c r="B35" s="19" t="s">
        <v>52</v>
      </c>
      <c r="D35" s="88">
        <f>+D9/D33*1000</f>
        <v>65.428887523048559</v>
      </c>
      <c r="F35" s="90">
        <f>+F9/F33*1000</f>
        <v>70.981781941399248</v>
      </c>
      <c r="H35" s="81">
        <f t="shared" si="13"/>
        <v>1.0848691553313448</v>
      </c>
      <c r="I35" s="82">
        <f t="shared" si="14"/>
        <v>5.5528944183506894</v>
      </c>
    </row>
    <row r="36" spans="1:11">
      <c r="B36" s="19" t="s">
        <v>56</v>
      </c>
      <c r="D36" s="92">
        <f>+D34-D35-D38*D35</f>
        <v>-64.160081485393476</v>
      </c>
      <c r="F36" s="97">
        <f>+F34-F35-F38*F35</f>
        <v>-64.985395055044364</v>
      </c>
      <c r="H36" s="81">
        <f t="shared" ref="H36" si="15">+F36/D36</f>
        <v>1.0128633497736248</v>
      </c>
      <c r="I36" s="82">
        <f t="shared" ref="I36" si="16">+F36-D36</f>
        <v>-0.82531356965088776</v>
      </c>
    </row>
    <row r="37" spans="1:11">
      <c r="B37" s="19" t="s">
        <v>54</v>
      </c>
      <c r="D37" s="34">
        <f>+D15/(D6+D7+D8+D9)</f>
        <v>0.51900379022295851</v>
      </c>
      <c r="F37" s="36">
        <f>+F15/(F6+F7+F8+F9)</f>
        <v>0.53288902067979405</v>
      </c>
      <c r="H37" s="81">
        <f t="shared" ref="H37:H38" si="17">+F37/D37</f>
        <v>1.0267536205291885</v>
      </c>
      <c r="I37" s="82">
        <f t="shared" ref="I37:I38" si="18">+F37-D37</f>
        <v>1.388523045683554E-2</v>
      </c>
    </row>
    <row r="38" spans="1:11">
      <c r="B38" s="19" t="s">
        <v>53</v>
      </c>
      <c r="D38" s="34">
        <f>+D11/(D6+D7+D8+D9)</f>
        <v>0.98060842529961778</v>
      </c>
      <c r="F38" s="36">
        <f>+F11/(F6+F7+F8+F9)</f>
        <v>0.91552300711105472</v>
      </c>
      <c r="H38" s="81">
        <f t="shared" si="17"/>
        <v>0.9336275148067622</v>
      </c>
      <c r="I38" s="82">
        <f t="shared" si="18"/>
        <v>-6.508541818856306E-2</v>
      </c>
    </row>
    <row r="39" spans="1:11" ht="7.5" customHeight="1">
      <c r="B39" s="17"/>
      <c r="F39" s="98"/>
      <c r="H39" s="26"/>
    </row>
    <row r="40" spans="1:11">
      <c r="B40" s="21" t="s">
        <v>35</v>
      </c>
      <c r="D40" s="22">
        <f>+D11/(1-(D6+D7+D8+D9)/D5)</f>
        <v>49891.62709499152</v>
      </c>
      <c r="F40" s="32">
        <f>+F11/(1-(F6+F7+F8+F9)/F5)</f>
        <v>30746.638405562539</v>
      </c>
      <c r="H40" s="100">
        <f t="shared" ref="H40" si="19">+F40/D40</f>
        <v>0.61626850427271607</v>
      </c>
      <c r="I40" s="99">
        <f t="shared" ref="I40" si="20">+F40-D40</f>
        <v>-19144.988689428981</v>
      </c>
    </row>
    <row r="41" spans="1:11">
      <c r="F41" s="12"/>
    </row>
    <row r="42" spans="1:11">
      <c r="F42" s="12"/>
    </row>
    <row r="43" spans="1:11">
      <c r="F43" s="12"/>
    </row>
    <row r="44" spans="1:11">
      <c r="F44" s="12"/>
    </row>
    <row r="45" spans="1:11">
      <c r="F45" s="12"/>
    </row>
    <row r="46" spans="1:11">
      <c r="F46" s="12"/>
    </row>
    <row r="47" spans="1:11">
      <c r="F47" s="12"/>
    </row>
    <row r="48" spans="1:11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  <row r="78" spans="6:6">
      <c r="F78" s="12"/>
    </row>
    <row r="79" spans="6:6">
      <c r="F79" s="12"/>
    </row>
    <row r="80" spans="6:6">
      <c r="F80" s="12"/>
    </row>
  </sheetData>
  <pageMargins left="0.27" right="0.19" top="0.21" bottom="0.21" header="0.17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2"/>
  <sheetViews>
    <sheetView tabSelected="1" workbookViewId="0">
      <pane xSplit="3" ySplit="4" topLeftCell="I18" activePane="bottomRight" state="frozen"/>
      <selection pane="topRight" activeCell="C1" sqref="C1"/>
      <selection pane="bottomLeft" activeCell="A5" sqref="A5"/>
      <selection pane="bottomRight" activeCell="I27" sqref="I27"/>
    </sheetView>
  </sheetViews>
  <sheetFormatPr defaultRowHeight="15"/>
  <cols>
    <col min="1" max="1" width="1.7109375" customWidth="1"/>
    <col min="2" max="2" width="27.285156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8" width="16.5703125" customWidth="1"/>
    <col min="9" max="9" width="8.7109375" customWidth="1"/>
    <col min="10" max="10" width="13.7109375" customWidth="1"/>
    <col min="11" max="11" width="8.7109375" customWidth="1"/>
    <col min="12" max="12" width="14.570312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19" width="13.7109375" customWidth="1"/>
    <col min="20" max="20" width="8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20" ht="15.75">
      <c r="B1" s="2" t="s">
        <v>0</v>
      </c>
      <c r="C1" s="17"/>
      <c r="D1" s="17"/>
      <c r="E1" s="17"/>
      <c r="F1" s="78"/>
      <c r="G1" s="40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2:20">
      <c r="B2" s="41" t="s">
        <v>34</v>
      </c>
      <c r="C2" s="17"/>
      <c r="D2" s="3" t="s">
        <v>2</v>
      </c>
      <c r="E2" s="42" t="s">
        <v>21</v>
      </c>
      <c r="F2" s="64" t="s">
        <v>14</v>
      </c>
      <c r="G2" s="79" t="s">
        <v>21</v>
      </c>
      <c r="H2" s="3" t="s">
        <v>2</v>
      </c>
      <c r="I2" s="42" t="s">
        <v>11</v>
      </c>
      <c r="J2" s="3" t="s">
        <v>2</v>
      </c>
      <c r="K2" s="42" t="s">
        <v>11</v>
      </c>
      <c r="L2" s="3" t="s">
        <v>2</v>
      </c>
      <c r="M2" s="42" t="s">
        <v>11</v>
      </c>
      <c r="N2" s="3" t="s">
        <v>2</v>
      </c>
      <c r="O2" s="17"/>
      <c r="P2" s="17"/>
      <c r="Q2" s="3" t="s">
        <v>2</v>
      </c>
      <c r="R2" s="42" t="s">
        <v>21</v>
      </c>
      <c r="S2" s="43" t="s">
        <v>14</v>
      </c>
      <c r="T2" s="79" t="s">
        <v>21</v>
      </c>
    </row>
    <row r="3" spans="2:20">
      <c r="B3" s="43" t="s">
        <v>1</v>
      </c>
      <c r="C3" s="17"/>
      <c r="D3" s="4" t="s">
        <v>23</v>
      </c>
      <c r="E3" s="24"/>
      <c r="F3" s="66" t="s">
        <v>23</v>
      </c>
      <c r="G3" s="80"/>
      <c r="H3" s="4" t="s">
        <v>24</v>
      </c>
      <c r="I3" s="24" t="s">
        <v>13</v>
      </c>
      <c r="J3" s="4" t="s">
        <v>25</v>
      </c>
      <c r="K3" s="24" t="s">
        <v>13</v>
      </c>
      <c r="L3" s="4" t="s">
        <v>26</v>
      </c>
      <c r="M3" s="24" t="s">
        <v>13</v>
      </c>
      <c r="N3" s="4" t="s">
        <v>27</v>
      </c>
      <c r="O3" s="17"/>
      <c r="P3" s="17"/>
      <c r="Q3" s="4" t="s">
        <v>12</v>
      </c>
      <c r="R3" s="24"/>
      <c r="S3" s="43" t="s">
        <v>32</v>
      </c>
      <c r="T3" s="24"/>
    </row>
    <row r="4" spans="2:20">
      <c r="B4" s="44">
        <v>9501</v>
      </c>
      <c r="C4" s="17"/>
      <c r="D4" s="43" t="s">
        <v>22</v>
      </c>
      <c r="E4" s="3"/>
      <c r="F4" s="67" t="s">
        <v>22</v>
      </c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3"/>
      <c r="S4" s="43">
        <v>9</v>
      </c>
      <c r="T4" s="3"/>
    </row>
    <row r="5" spans="2:20">
      <c r="B5" s="10" t="s">
        <v>4</v>
      </c>
      <c r="C5" s="17"/>
      <c r="D5" s="9">
        <f>13756.195+10886.175+1960.564</f>
        <v>26602.933999999997</v>
      </c>
      <c r="E5" s="50">
        <f>+D5/$D$5</f>
        <v>1</v>
      </c>
      <c r="F5" s="101">
        <f t="shared" ref="F5:F12" si="0">+D5/8</f>
        <v>3325.3667499999997</v>
      </c>
      <c r="G5" s="57">
        <f>+F5/$F$5</f>
        <v>1</v>
      </c>
      <c r="H5" s="9">
        <f>1957.529+1350.388+246.404</f>
        <v>3554.3209999999999</v>
      </c>
      <c r="I5" s="50">
        <f>+H5/$D$5</f>
        <v>0.13360635334433413</v>
      </c>
      <c r="J5" s="17"/>
      <c r="K5" s="17"/>
      <c r="L5" s="17"/>
      <c r="M5" s="17"/>
      <c r="N5" s="17"/>
      <c r="O5" s="17"/>
      <c r="P5" s="17"/>
      <c r="Q5" s="31">
        <f>+D5+H5+J5+L5+N5</f>
        <v>30157.254999999997</v>
      </c>
      <c r="R5" s="57">
        <f t="shared" ref="R5:R12" si="1">+Q5/$Q$5</f>
        <v>1</v>
      </c>
      <c r="S5" s="31">
        <f>+Q5/$S$4</f>
        <v>3350.806111111111</v>
      </c>
      <c r="T5" s="53"/>
    </row>
    <row r="6" spans="2:20">
      <c r="B6" s="7" t="s">
        <v>36</v>
      </c>
      <c r="C6" s="17"/>
      <c r="D6" s="11">
        <v>11354.784</v>
      </c>
      <c r="E6" s="51">
        <f>+D6/D5</f>
        <v>0.42682449988411053</v>
      </c>
      <c r="F6" s="69">
        <f t="shared" si="0"/>
        <v>1419.348</v>
      </c>
      <c r="G6" s="51">
        <f>+F6/F5</f>
        <v>0.42682449988411053</v>
      </c>
      <c r="H6" s="11">
        <v>1429.36</v>
      </c>
      <c r="I6" s="51">
        <f>+H6/H5</f>
        <v>0.40214713302484495</v>
      </c>
      <c r="J6" s="17"/>
      <c r="K6" s="17"/>
      <c r="L6" s="17"/>
      <c r="M6" s="17"/>
      <c r="N6" s="17"/>
      <c r="O6" s="17"/>
      <c r="P6" s="17"/>
      <c r="Q6" s="14">
        <f t="shared" ref="Q6:Q12" si="2">+D6+H6+J6+L6+N6</f>
        <v>12784.144</v>
      </c>
      <c r="R6" s="58">
        <f t="shared" si="1"/>
        <v>0.42391603612464068</v>
      </c>
      <c r="S6" s="14">
        <f t="shared" ref="S6:S12" si="3">+Q6/$S$4</f>
        <v>1420.4604444444444</v>
      </c>
      <c r="T6" s="53"/>
    </row>
    <row r="7" spans="2:20">
      <c r="B7" s="7" t="s">
        <v>37</v>
      </c>
      <c r="C7" s="17"/>
      <c r="D7" s="11">
        <v>1288.395</v>
      </c>
      <c r="E7" s="51">
        <f>+D7/D5</f>
        <v>4.843056032842092E-2</v>
      </c>
      <c r="F7" s="69">
        <f t="shared" si="0"/>
        <v>161.049375</v>
      </c>
      <c r="G7" s="51">
        <f>+F7/F5</f>
        <v>4.843056032842092E-2</v>
      </c>
      <c r="H7" s="11">
        <v>173.821</v>
      </c>
      <c r="I7" s="51">
        <f>+H7/H5</f>
        <v>4.8904136683208976E-2</v>
      </c>
      <c r="J7" s="17"/>
      <c r="K7" s="17"/>
      <c r="L7" s="17"/>
      <c r="M7" s="17"/>
      <c r="N7" s="17"/>
      <c r="O7" s="17"/>
      <c r="P7" s="17"/>
      <c r="Q7" s="14">
        <f t="shared" si="2"/>
        <v>1462.2159999999999</v>
      </c>
      <c r="R7" s="58">
        <f t="shared" si="1"/>
        <v>4.8486375832283143E-2</v>
      </c>
      <c r="S7" s="14">
        <f t="shared" si="3"/>
        <v>162.46844444444443</v>
      </c>
      <c r="T7" s="53"/>
    </row>
    <row r="8" spans="2:20">
      <c r="B8" s="7" t="s">
        <v>38</v>
      </c>
      <c r="C8" s="17"/>
      <c r="D8" s="11">
        <v>688.31</v>
      </c>
      <c r="E8" s="51">
        <f>+D8/D5</f>
        <v>2.5873461927169387E-2</v>
      </c>
      <c r="F8" s="69">
        <f t="shared" si="0"/>
        <v>86.038749999999993</v>
      </c>
      <c r="G8" s="51">
        <f>+F8/F5</f>
        <v>2.5873461927169387E-2</v>
      </c>
      <c r="H8" s="11">
        <v>122.259</v>
      </c>
      <c r="I8" s="51">
        <f>+H8/H5</f>
        <v>3.4397287133041729E-2</v>
      </c>
      <c r="J8" s="17"/>
      <c r="K8" s="17"/>
      <c r="L8" s="17"/>
      <c r="M8" s="17"/>
      <c r="N8" s="17"/>
      <c r="O8" s="17"/>
      <c r="P8" s="17"/>
      <c r="Q8" s="14">
        <f t="shared" si="2"/>
        <v>810.56899999999996</v>
      </c>
      <c r="R8" s="58">
        <f t="shared" si="1"/>
        <v>2.6878076270535897E-2</v>
      </c>
      <c r="S8" s="14">
        <f t="shared" si="3"/>
        <v>90.063222222222223</v>
      </c>
      <c r="T8" s="53"/>
    </row>
    <row r="9" spans="2:20">
      <c r="B9" s="7" t="s">
        <v>39</v>
      </c>
      <c r="C9" s="17"/>
      <c r="D9" s="11">
        <f>10886.175+1960.564</f>
        <v>12846.739</v>
      </c>
      <c r="E9" s="51">
        <f>+D9/D5</f>
        <v>0.48290684779355542</v>
      </c>
      <c r="F9" s="69">
        <f t="shared" si="0"/>
        <v>1605.8423749999999</v>
      </c>
      <c r="G9" s="51">
        <f>+F9/F5</f>
        <v>0.48290684779355542</v>
      </c>
      <c r="H9" s="11">
        <f>1350.388+246.404</f>
        <v>1596.7919999999999</v>
      </c>
      <c r="I9" s="51">
        <f>+H9/H5</f>
        <v>0.44925373932180013</v>
      </c>
      <c r="J9" s="17"/>
      <c r="K9" s="17"/>
      <c r="L9" s="17"/>
      <c r="M9" s="17"/>
      <c r="N9" s="17"/>
      <c r="O9" s="17"/>
      <c r="P9" s="17"/>
      <c r="Q9" s="14">
        <f t="shared" si="2"/>
        <v>14443.530999999999</v>
      </c>
      <c r="R9" s="58">
        <f t="shared" si="1"/>
        <v>0.4789405070189578</v>
      </c>
      <c r="S9" s="14">
        <f t="shared" si="3"/>
        <v>1604.8367777777776</v>
      </c>
      <c r="T9" s="53"/>
    </row>
    <row r="10" spans="2:20">
      <c r="B10" s="10" t="s">
        <v>7</v>
      </c>
      <c r="C10" s="17"/>
      <c r="D10" s="8">
        <f>+D5-D6-D7-D8-D9</f>
        <v>424.70599999999831</v>
      </c>
      <c r="E10" s="52">
        <f>+D10/$D$5</f>
        <v>1.5964630066743705E-2</v>
      </c>
      <c r="F10" s="68">
        <f t="shared" si="0"/>
        <v>53.088249999999789</v>
      </c>
      <c r="G10" s="58">
        <f>+F10/$F$5</f>
        <v>1.5964630066743705E-2</v>
      </c>
      <c r="H10" s="8">
        <f>+H5-H6-H7-H8-H9</f>
        <v>232.0890000000004</v>
      </c>
      <c r="I10" s="52">
        <f>+H10/$H$5</f>
        <v>6.5297703837104301E-2</v>
      </c>
      <c r="J10" s="17"/>
      <c r="K10" s="17"/>
      <c r="L10" s="17"/>
      <c r="M10" s="17"/>
      <c r="N10" s="17"/>
      <c r="O10" s="17"/>
      <c r="P10" s="17"/>
      <c r="Q10" s="13">
        <f t="shared" si="2"/>
        <v>656.79499999999871</v>
      </c>
      <c r="R10" s="58">
        <f t="shared" si="1"/>
        <v>2.1779004753582472E-2</v>
      </c>
      <c r="S10" s="13">
        <f t="shared" si="3"/>
        <v>72.977222222222082</v>
      </c>
      <c r="T10" s="53"/>
    </row>
    <row r="11" spans="2:20">
      <c r="B11" s="7" t="s">
        <v>5</v>
      </c>
      <c r="C11" s="17"/>
      <c r="D11" s="11">
        <f>25811.264-169.948</f>
        <v>25641.315999999999</v>
      </c>
      <c r="E11" s="51">
        <f>+D11/$D$5</f>
        <v>0.9638529344169332</v>
      </c>
      <c r="F11" s="69">
        <f t="shared" si="0"/>
        <v>3205.1644999999999</v>
      </c>
      <c r="G11" s="58">
        <f>+F11/$F$5</f>
        <v>0.9638529344169332</v>
      </c>
      <c r="H11" s="11">
        <f>3291.80269-33.994</f>
        <v>3257.8086899999998</v>
      </c>
      <c r="I11" s="51">
        <f>+H11/$H$5</f>
        <v>0.91657694676423429</v>
      </c>
      <c r="J11" s="17"/>
      <c r="K11" s="17"/>
      <c r="L11" s="17"/>
      <c r="M11" s="17"/>
      <c r="N11" s="17"/>
      <c r="O11" s="17"/>
      <c r="P11" s="17"/>
      <c r="Q11" s="14">
        <f t="shared" si="2"/>
        <v>28899.124689999997</v>
      </c>
      <c r="R11" s="58">
        <f t="shared" si="1"/>
        <v>0.95828100700809804</v>
      </c>
      <c r="S11" s="14">
        <f t="shared" si="3"/>
        <v>3211.013854444444</v>
      </c>
      <c r="T11" s="53"/>
    </row>
    <row r="12" spans="2:20">
      <c r="B12" s="19" t="s">
        <v>15</v>
      </c>
      <c r="C12" s="17"/>
      <c r="D12" s="15">
        <f>+D5-D6-D11-D7-D8-D9</f>
        <v>-25216.61</v>
      </c>
      <c r="E12" s="50">
        <f>+D12/$D$5</f>
        <v>-0.94788830435018945</v>
      </c>
      <c r="F12" s="70">
        <f t="shared" si="0"/>
        <v>-3152.0762500000001</v>
      </c>
      <c r="G12" s="57">
        <f>+F12/$F$5</f>
        <v>-0.94788830435018945</v>
      </c>
      <c r="H12" s="15">
        <f>+H5-H6-H11-H7-H8-H9</f>
        <v>-3025.7196899999994</v>
      </c>
      <c r="I12" s="50">
        <f>+H12/$H$5</f>
        <v>-0.85127924292712998</v>
      </c>
      <c r="J12" s="17"/>
      <c r="K12" s="17"/>
      <c r="L12" s="17"/>
      <c r="M12" s="17"/>
      <c r="N12" s="17"/>
      <c r="O12" s="17"/>
      <c r="P12" s="17"/>
      <c r="Q12" s="16">
        <f t="shared" si="2"/>
        <v>-28242.329689999999</v>
      </c>
      <c r="R12" s="57">
        <f t="shared" si="1"/>
        <v>-0.93650200225451563</v>
      </c>
      <c r="S12" s="30">
        <f t="shared" si="3"/>
        <v>-3138.0366322222221</v>
      </c>
      <c r="T12" s="53"/>
    </row>
    <row r="13" spans="2:20" ht="7.5" customHeight="1">
      <c r="B13" s="17"/>
      <c r="C13" s="17"/>
      <c r="D13" s="33"/>
      <c r="E13" s="53"/>
      <c r="F13" s="71"/>
      <c r="G13" s="72"/>
      <c r="H13" s="33"/>
      <c r="I13" s="53"/>
      <c r="J13" s="17"/>
      <c r="K13" s="17"/>
      <c r="L13" s="17"/>
      <c r="M13" s="17"/>
      <c r="N13" s="17"/>
      <c r="O13" s="17"/>
      <c r="P13" s="17"/>
      <c r="Q13" s="17"/>
      <c r="R13" s="59"/>
      <c r="S13" s="17"/>
      <c r="T13" s="53"/>
    </row>
    <row r="14" spans="2:20">
      <c r="B14" s="18" t="s">
        <v>18</v>
      </c>
      <c r="C14" s="17"/>
      <c r="D14" s="11">
        <v>78.63</v>
      </c>
      <c r="E14" s="87"/>
      <c r="F14" s="69">
        <v>78.63</v>
      </c>
      <c r="G14" s="72"/>
      <c r="H14" s="11">
        <v>78.63</v>
      </c>
      <c r="I14" s="87"/>
      <c r="J14" s="17"/>
      <c r="K14" s="17"/>
      <c r="L14" s="17"/>
      <c r="M14" s="17"/>
      <c r="N14" s="17"/>
      <c r="O14" s="17"/>
      <c r="P14" s="17"/>
      <c r="Q14" s="14">
        <f>(+F14*8+H14+J14+L14+N14)/S4</f>
        <v>78.63</v>
      </c>
      <c r="R14" s="53"/>
      <c r="S14" s="14">
        <f>+Q14</f>
        <v>78.63</v>
      </c>
      <c r="T14" s="53"/>
    </row>
    <row r="15" spans="2:20">
      <c r="B15" s="18" t="s">
        <v>16</v>
      </c>
      <c r="C15" s="17"/>
      <c r="D15" s="11">
        <v>14321.761</v>
      </c>
      <c r="E15" s="87"/>
      <c r="F15" s="69">
        <f>+D15/8</f>
        <v>1790.2201250000001</v>
      </c>
      <c r="G15" s="72"/>
      <c r="H15" s="11">
        <v>1724.251</v>
      </c>
      <c r="I15" s="87"/>
      <c r="J15" s="17"/>
      <c r="K15" s="17"/>
      <c r="L15" s="17"/>
      <c r="M15" s="17"/>
      <c r="N15" s="17"/>
      <c r="O15" s="17"/>
      <c r="P15" s="17"/>
      <c r="Q15" s="14">
        <f t="shared" ref="Q15" si="4">+D15+H15+J15+L15+N15</f>
        <v>16046.012000000001</v>
      </c>
      <c r="R15" s="53"/>
      <c r="S15" s="14">
        <f t="shared" ref="S15" si="5">+Q15/$S$4</f>
        <v>1782.8902222222223</v>
      </c>
      <c r="T15" s="53"/>
    </row>
    <row r="16" spans="2:20">
      <c r="B16" s="19" t="s">
        <v>19</v>
      </c>
      <c r="C16" s="17"/>
      <c r="D16" s="34">
        <f>+D15/D5</f>
        <v>0.53835268696302452</v>
      </c>
      <c r="E16" s="53"/>
      <c r="F16" s="73">
        <f>+F15/F5</f>
        <v>0.53835268696302452</v>
      </c>
      <c r="G16" s="72"/>
      <c r="H16" s="34">
        <f>+H15/H5</f>
        <v>0.48511403443864526</v>
      </c>
      <c r="I16" s="53"/>
      <c r="J16" s="17"/>
      <c r="K16" s="17"/>
      <c r="L16" s="17"/>
      <c r="M16" s="17"/>
      <c r="N16" s="17"/>
      <c r="O16" s="17"/>
      <c r="P16" s="17"/>
      <c r="Q16" s="36">
        <f>+Q15/Q5</f>
        <v>0.53207800245745185</v>
      </c>
      <c r="R16" s="53"/>
      <c r="S16" s="36">
        <f>+S15/S5</f>
        <v>0.53207800245745185</v>
      </c>
      <c r="T16" s="53"/>
    </row>
    <row r="17" spans="1:20">
      <c r="B17" s="19" t="s">
        <v>17</v>
      </c>
      <c r="C17" s="17"/>
      <c r="D17" s="8">
        <f>+D5/D14</f>
        <v>338.33058629022003</v>
      </c>
      <c r="E17" s="53"/>
      <c r="F17" s="74">
        <f>+F5/F14</f>
        <v>42.291323286277503</v>
      </c>
      <c r="G17" s="72"/>
      <c r="H17" s="8">
        <f>+H5/H14</f>
        <v>45.203115859086864</v>
      </c>
      <c r="I17" s="53"/>
      <c r="J17" s="17"/>
      <c r="K17" s="17"/>
      <c r="L17" s="17"/>
      <c r="M17" s="17"/>
      <c r="N17" s="17"/>
      <c r="O17" s="17"/>
      <c r="P17" s="17"/>
      <c r="Q17" s="37">
        <f>+Q5/Q14</f>
        <v>383.53370214930686</v>
      </c>
      <c r="R17" s="53"/>
      <c r="S17" s="37">
        <f>+S5/S14</f>
        <v>42.614855794367429</v>
      </c>
      <c r="T17" s="53"/>
    </row>
    <row r="18" spans="1:20">
      <c r="B18" s="10" t="s">
        <v>33</v>
      </c>
      <c r="C18" s="17"/>
      <c r="D18" s="8">
        <f>+D15/D14</f>
        <v>182.14118021111537</v>
      </c>
      <c r="E18" s="53"/>
      <c r="F18" s="74">
        <f>+F15/F14</f>
        <v>22.767647526389421</v>
      </c>
      <c r="G18" s="72"/>
      <c r="H18" s="8">
        <f>+H15/H14</f>
        <v>21.928665903599136</v>
      </c>
      <c r="I18" s="53"/>
      <c r="J18" s="17"/>
      <c r="K18" s="17"/>
      <c r="L18" s="17"/>
      <c r="M18" s="17"/>
      <c r="N18" s="17"/>
      <c r="O18" s="17"/>
      <c r="P18" s="17"/>
      <c r="Q18" s="37">
        <f>+Q15/Q14</f>
        <v>204.06984611471449</v>
      </c>
      <c r="R18" s="53"/>
      <c r="S18" s="37">
        <f>+S15/S14</f>
        <v>22.674427346079391</v>
      </c>
      <c r="T18" s="53"/>
    </row>
    <row r="19" spans="1:20">
      <c r="B19" s="19" t="s">
        <v>20</v>
      </c>
      <c r="C19" s="17"/>
      <c r="D19" s="34">
        <f>+D15/D10</f>
        <v>33.721588581277537</v>
      </c>
      <c r="E19" s="53"/>
      <c r="F19" s="73">
        <f>+F15/F10</f>
        <v>33.721588581277537</v>
      </c>
      <c r="G19" s="72"/>
      <c r="H19" s="34">
        <f>+H15/H10</f>
        <v>7.4292663590260508</v>
      </c>
      <c r="I19" s="53"/>
      <c r="J19" s="17"/>
      <c r="K19" s="17"/>
      <c r="L19" s="17"/>
      <c r="M19" s="17"/>
      <c r="N19" s="17"/>
      <c r="O19" s="17"/>
      <c r="P19" s="17"/>
      <c r="Q19" s="36">
        <f>+Q15/Q10</f>
        <v>24.430776726375857</v>
      </c>
      <c r="R19" s="53"/>
      <c r="S19" s="36">
        <f>+S15/S10</f>
        <v>24.430776726375857</v>
      </c>
      <c r="T19" s="53"/>
    </row>
    <row r="20" spans="1:20" ht="7.5" customHeight="1">
      <c r="B20" s="7"/>
      <c r="C20" s="17"/>
      <c r="D20" s="33"/>
      <c r="E20" s="53"/>
      <c r="F20" s="71"/>
      <c r="G20" s="72"/>
      <c r="H20" s="33"/>
      <c r="I20" s="53"/>
      <c r="J20" s="17"/>
      <c r="K20" s="17"/>
      <c r="L20" s="17"/>
      <c r="M20" s="17"/>
      <c r="N20" s="17"/>
      <c r="O20" s="17"/>
      <c r="P20" s="17"/>
      <c r="Q20" s="17"/>
      <c r="R20" s="53"/>
      <c r="S20" s="17"/>
      <c r="T20" s="53"/>
    </row>
    <row r="21" spans="1:20">
      <c r="A21">
        <v>1</v>
      </c>
      <c r="B21" s="18" t="s">
        <v>40</v>
      </c>
      <c r="C21" s="17"/>
      <c r="D21" s="11">
        <v>290555</v>
      </c>
      <c r="E21" s="102" t="s">
        <v>58</v>
      </c>
      <c r="F21" s="69">
        <f t="shared" ref="F21" si="6">+D21/8</f>
        <v>36319.375</v>
      </c>
      <c r="G21" s="102" t="s">
        <v>58</v>
      </c>
      <c r="H21" s="11">
        <v>36799</v>
      </c>
      <c r="I21" s="102" t="s">
        <v>58</v>
      </c>
      <c r="J21" s="17"/>
      <c r="K21" s="17"/>
      <c r="L21" s="17"/>
      <c r="M21" s="17"/>
      <c r="N21" s="17"/>
      <c r="O21" s="17"/>
      <c r="P21" s="17"/>
      <c r="Q21" s="14">
        <f>+D21+H21+J21+L21+N21</f>
        <v>327354</v>
      </c>
      <c r="R21" s="102" t="s">
        <v>58</v>
      </c>
      <c r="S21" s="14">
        <f t="shared" ref="S21" si="7">+Q21/$S$4</f>
        <v>36372.666666666664</v>
      </c>
      <c r="T21" s="102" t="s">
        <v>58</v>
      </c>
    </row>
    <row r="22" spans="1:20">
      <c r="B22" s="19" t="s">
        <v>41</v>
      </c>
      <c r="C22" s="17"/>
      <c r="D22" s="88">
        <f>(6931719+2464736.4)/D21</f>
        <v>32.339678890399412</v>
      </c>
      <c r="E22" s="54">
        <f>+D22*D21/1000</f>
        <v>9396.4554000000007</v>
      </c>
      <c r="F22" s="89">
        <f>+D22</f>
        <v>32.339678890399412</v>
      </c>
      <c r="G22" s="54">
        <f>+F22*F21/1000</f>
        <v>1174.5569250000001</v>
      </c>
      <c r="H22" s="88">
        <f>(877214+309020)/H21</f>
        <v>32.235495529769828</v>
      </c>
      <c r="I22" s="54">
        <f>+H22*H21/1000</f>
        <v>1186.2339999999999</v>
      </c>
      <c r="J22" s="17"/>
      <c r="K22" s="17"/>
      <c r="L22" s="17"/>
      <c r="M22" s="17"/>
      <c r="N22" s="17"/>
      <c r="O22" s="17"/>
      <c r="P22" s="17"/>
      <c r="Q22" s="88">
        <f>(E22+I22+K22+M22)/Q21*1000</f>
        <v>32.327967277015098</v>
      </c>
      <c r="R22" s="54">
        <f>+Q22*Q21/1000</f>
        <v>10582.689400000001</v>
      </c>
      <c r="S22" s="88">
        <f>+F22</f>
        <v>32.339678890399412</v>
      </c>
      <c r="T22" s="54">
        <f>+S22*S21/1000</f>
        <v>1176.2803603875343</v>
      </c>
    </row>
    <row r="23" spans="1:20">
      <c r="B23" s="19" t="s">
        <v>42</v>
      </c>
      <c r="C23" s="17"/>
      <c r="D23" s="88">
        <f>+D6/D21*1000</f>
        <v>39.079637245960313</v>
      </c>
      <c r="E23" s="91"/>
      <c r="F23" s="89">
        <f>+F6/F21*1000</f>
        <v>39.079637245960313</v>
      </c>
      <c r="G23" s="75"/>
      <c r="H23" s="88">
        <f>+H6/H21*1000</f>
        <v>38.842359846734958</v>
      </c>
      <c r="I23" s="91"/>
      <c r="J23" s="17"/>
      <c r="K23" s="17"/>
      <c r="L23" s="17"/>
      <c r="M23" s="17"/>
      <c r="N23" s="17"/>
      <c r="O23" s="17"/>
      <c r="P23" s="17"/>
      <c r="Q23" s="88">
        <f>+Q6/Q21*1000</f>
        <v>39.0529640694783</v>
      </c>
      <c r="R23" s="91"/>
      <c r="S23" s="88">
        <f>+S6/S21*1000</f>
        <v>39.0529640694783</v>
      </c>
      <c r="T23" s="91"/>
    </row>
    <row r="24" spans="1:20">
      <c r="B24" s="19" t="s">
        <v>48</v>
      </c>
      <c r="C24" s="17"/>
      <c r="D24" s="92">
        <f>+D22-D23-D38*D23</f>
        <v>-45.018077401244135</v>
      </c>
      <c r="E24" s="91"/>
      <c r="F24" s="93">
        <f>+F22-F23-F38*F23</f>
        <v>-45.018077401244135</v>
      </c>
      <c r="G24" s="75"/>
      <c r="H24" s="92">
        <f>+H22-H23-H38*H23</f>
        <v>-44.696009641193001</v>
      </c>
      <c r="I24" s="91"/>
      <c r="J24" s="17"/>
      <c r="K24" s="17"/>
      <c r="L24" s="17"/>
      <c r="M24" s="17"/>
      <c r="N24" s="17"/>
      <c r="O24" s="17"/>
      <c r="P24" s="17"/>
      <c r="Q24" s="92">
        <f>+Q22-Q23-Q38</f>
        <v>-7.7046128625177026</v>
      </c>
      <c r="R24" s="91"/>
      <c r="S24" s="92">
        <f>+S22-S23-S38</f>
        <v>-7.6929012491333886</v>
      </c>
      <c r="T24" s="91"/>
    </row>
    <row r="25" spans="1:20">
      <c r="A25">
        <v>2</v>
      </c>
      <c r="B25" s="18" t="s">
        <v>43</v>
      </c>
      <c r="C25" s="17"/>
      <c r="D25" s="11">
        <v>37723</v>
      </c>
      <c r="E25" s="102" t="s">
        <v>58</v>
      </c>
      <c r="F25" s="69">
        <f t="shared" ref="F25" si="8">+D25/8</f>
        <v>4715.375</v>
      </c>
      <c r="G25" s="102" t="s">
        <v>58</v>
      </c>
      <c r="H25" s="11">
        <v>5068</v>
      </c>
      <c r="I25" s="102" t="s">
        <v>58</v>
      </c>
      <c r="J25" s="17"/>
      <c r="K25" s="17"/>
      <c r="L25" s="17"/>
      <c r="M25" s="17"/>
      <c r="N25" s="17"/>
      <c r="O25" s="17"/>
      <c r="P25" s="17"/>
      <c r="Q25" s="14">
        <f t="shared" ref="Q25" si="9">+D25+H25+J25+L25+N25</f>
        <v>42791</v>
      </c>
      <c r="R25" s="102" t="s">
        <v>58</v>
      </c>
      <c r="S25" s="14">
        <f t="shared" ref="S25" si="10">+Q25/$S$4</f>
        <v>4754.5555555555557</v>
      </c>
      <c r="T25" s="102" t="s">
        <v>58</v>
      </c>
    </row>
    <row r="26" spans="1:20">
      <c r="B26" s="19" t="s">
        <v>44</v>
      </c>
      <c r="C26" s="17"/>
      <c r="D26" s="88">
        <f>2678514/D25</f>
        <v>71.004798133764552</v>
      </c>
      <c r="E26" s="54">
        <f>+D26*D25/1000</f>
        <v>2678.5140000000001</v>
      </c>
      <c r="F26" s="89">
        <f>+D26</f>
        <v>71.004798133764552</v>
      </c>
      <c r="G26" s="54">
        <f>+F26*F25/1000</f>
        <v>334.81425000000002</v>
      </c>
      <c r="H26" s="88">
        <f>363933/H25</f>
        <v>71.809984214680341</v>
      </c>
      <c r="I26" s="54">
        <f>+H26*H25/1000</f>
        <v>363.93299999999994</v>
      </c>
      <c r="J26" s="17"/>
      <c r="K26" s="17"/>
      <c r="L26" s="17"/>
      <c r="M26" s="17"/>
      <c r="N26" s="17"/>
      <c r="O26" s="17"/>
      <c r="P26" s="17"/>
      <c r="Q26" s="88">
        <f>(E26+I26+K26+M26)/Q25*1000</f>
        <v>71.100161248860744</v>
      </c>
      <c r="R26" s="54">
        <f>+Q26*Q25/1000</f>
        <v>3042.4470000000001</v>
      </c>
      <c r="S26" s="88">
        <f>+Q26</f>
        <v>71.100161248860744</v>
      </c>
      <c r="T26" s="54">
        <f>+S26*S25/1000</f>
        <v>338.04966666666667</v>
      </c>
    </row>
    <row r="27" spans="1:20">
      <c r="B27" s="19" t="s">
        <v>45</v>
      </c>
      <c r="C27" s="17"/>
      <c r="D27" s="88">
        <f>+D7/D25*1000</f>
        <v>34.154096970018287</v>
      </c>
      <c r="E27" s="91"/>
      <c r="F27" s="89">
        <f>+F7/F25*1000</f>
        <v>34.154096970018287</v>
      </c>
      <c r="G27" s="75"/>
      <c r="H27" s="88">
        <f>+H7/H25*1000</f>
        <v>34.297750591949487</v>
      </c>
      <c r="I27" s="91"/>
      <c r="J27" s="17"/>
      <c r="K27" s="17"/>
      <c r="L27" s="17"/>
      <c r="M27" s="17"/>
      <c r="N27" s="17"/>
      <c r="O27" s="17"/>
      <c r="P27" s="17"/>
      <c r="Q27" s="88">
        <f>+Q7/Q25*1000</f>
        <v>34.171110747587107</v>
      </c>
      <c r="R27" s="91"/>
      <c r="S27" s="88">
        <f>+S7/S25*1000</f>
        <v>34.171110747587107</v>
      </c>
      <c r="T27" s="91"/>
    </row>
    <row r="28" spans="1:20">
      <c r="B28" s="19" t="s">
        <v>57</v>
      </c>
      <c r="C28" s="17"/>
      <c r="D28" s="92">
        <f>+D26-D27-D38*D27</f>
        <v>3.3971002132586534</v>
      </c>
      <c r="E28" s="91"/>
      <c r="F28" s="93">
        <f>+F26-F27-F38*F27</f>
        <v>3.3971002132586534</v>
      </c>
      <c r="G28" s="75"/>
      <c r="H28" s="92">
        <f>+H26-H27-H38*H27</f>
        <v>3.8795704234402351</v>
      </c>
      <c r="I28" s="91"/>
      <c r="J28" s="17"/>
      <c r="K28" s="17"/>
      <c r="L28" s="17"/>
      <c r="M28" s="17"/>
      <c r="N28" s="17"/>
      <c r="O28" s="17"/>
      <c r="P28" s="17"/>
      <c r="Q28" s="92">
        <f>+Q26-Q27-Q38</f>
        <v>35.949434431219139</v>
      </c>
      <c r="R28" s="91"/>
      <c r="S28" s="92">
        <f>+S26-S27-S38</f>
        <v>35.949434431219139</v>
      </c>
      <c r="T28" s="91"/>
    </row>
    <row r="29" spans="1:20">
      <c r="A29">
        <v>3</v>
      </c>
      <c r="B29" s="18" t="s">
        <v>46</v>
      </c>
      <c r="C29" s="17"/>
      <c r="D29" s="11">
        <v>19786</v>
      </c>
      <c r="E29" s="102" t="s">
        <v>58</v>
      </c>
      <c r="F29" s="69">
        <f t="shared" ref="F29" si="11">+D29/8</f>
        <v>2473.25</v>
      </c>
      <c r="G29" s="102" t="s">
        <v>58</v>
      </c>
      <c r="H29" s="11">
        <v>3557</v>
      </c>
      <c r="I29" s="102" t="s">
        <v>58</v>
      </c>
      <c r="J29" s="17"/>
      <c r="K29" s="17"/>
      <c r="L29" s="17"/>
      <c r="M29" s="17"/>
      <c r="N29" s="17"/>
      <c r="O29" s="17"/>
      <c r="P29" s="17"/>
      <c r="Q29" s="14">
        <f t="shared" ref="Q29" si="12">+D29+H29+J29+L29+N29</f>
        <v>23343</v>
      </c>
      <c r="R29" s="102" t="s">
        <v>58</v>
      </c>
      <c r="S29" s="14">
        <f t="shared" ref="S29" si="13">+Q29/$S$4</f>
        <v>2593.6666666666665</v>
      </c>
      <c r="T29" s="102" t="s">
        <v>58</v>
      </c>
    </row>
    <row r="30" spans="1:20">
      <c r="B30" s="19" t="s">
        <v>49</v>
      </c>
      <c r="C30" s="17"/>
      <c r="D30" s="88">
        <f>(688310+355159)/D29</f>
        <v>52.737743859294447</v>
      </c>
      <c r="E30" s="54">
        <f>+D30*D29/1000</f>
        <v>1043.4689999999998</v>
      </c>
      <c r="F30" s="89">
        <f>+D30</f>
        <v>52.737743859294447</v>
      </c>
      <c r="G30" s="54">
        <f>+F30*F29/1000</f>
        <v>130.43362499999998</v>
      </c>
      <c r="H30" s="88">
        <f>(122259+63848)/H29</f>
        <v>52.321338206353666</v>
      </c>
      <c r="I30" s="54">
        <f>+H30*H29/1000</f>
        <v>186.107</v>
      </c>
      <c r="J30" s="17"/>
      <c r="K30" s="17"/>
      <c r="L30" s="17"/>
      <c r="M30" s="17"/>
      <c r="N30" s="17"/>
      <c r="O30" s="17"/>
      <c r="P30" s="17"/>
      <c r="Q30" s="88">
        <f>(E30+I30+K30+M30)/Q29*1000</f>
        <v>52.674292078995833</v>
      </c>
      <c r="R30" s="54">
        <f>+Q30*Q29/1000</f>
        <v>1229.5759999999998</v>
      </c>
      <c r="S30" s="88">
        <f>+Q30</f>
        <v>52.674292078995833</v>
      </c>
      <c r="T30" s="54">
        <f>+S30*S29/1000</f>
        <v>136.61955555555551</v>
      </c>
    </row>
    <row r="31" spans="1:20">
      <c r="B31" s="19" t="s">
        <v>50</v>
      </c>
      <c r="C31" s="17"/>
      <c r="D31" s="88">
        <f>+D8/D29*1000</f>
        <v>34.787728697058526</v>
      </c>
      <c r="E31" s="91"/>
      <c r="F31" s="89">
        <f>+F8/F29*1000</f>
        <v>34.787728697058526</v>
      </c>
      <c r="G31" s="75"/>
      <c r="H31" s="88">
        <f>+H8/H29*1000</f>
        <v>34.371380376721959</v>
      </c>
      <c r="I31" s="91"/>
      <c r="J31" s="17"/>
      <c r="K31" s="17"/>
      <c r="L31" s="17"/>
      <c r="M31" s="17"/>
      <c r="N31" s="17"/>
      <c r="O31" s="17"/>
      <c r="P31" s="17"/>
      <c r="Q31" s="88">
        <f>+Q8/Q29*1000</f>
        <v>34.724285653086575</v>
      </c>
      <c r="R31" s="91"/>
      <c r="S31" s="88">
        <f>+S8/S29*1000</f>
        <v>34.724285653086575</v>
      </c>
      <c r="T31" s="91"/>
    </row>
    <row r="32" spans="1:20">
      <c r="B32" s="19" t="s">
        <v>55</v>
      </c>
      <c r="C32" s="17"/>
      <c r="D32" s="92">
        <f>+D30-D31-D38*D31</f>
        <v>-16.124221812227972</v>
      </c>
      <c r="E32" s="91"/>
      <c r="F32" s="93">
        <f>+F30-F31-F38*F31</f>
        <v>-16.124221812227972</v>
      </c>
      <c r="G32" s="75"/>
      <c r="H32" s="92">
        <f>+H30-H31-H38*H31</f>
        <v>-15.754907356959798</v>
      </c>
      <c r="I32" s="91"/>
      <c r="J32" s="17"/>
      <c r="K32" s="17"/>
      <c r="L32" s="17"/>
      <c r="M32" s="17"/>
      <c r="N32" s="17"/>
      <c r="O32" s="17"/>
      <c r="P32" s="17"/>
      <c r="Q32" s="92">
        <f>+Q30-Q31-Q38</f>
        <v>16.970390355854757</v>
      </c>
      <c r="R32" s="91"/>
      <c r="S32" s="92">
        <f>+S30-S31-S38</f>
        <v>16.970390355854757</v>
      </c>
      <c r="T32" s="91"/>
    </row>
    <row r="33" spans="1:20">
      <c r="A33">
        <v>4</v>
      </c>
      <c r="B33" s="18" t="s">
        <v>47</v>
      </c>
      <c r="C33" s="17"/>
      <c r="D33" s="11">
        <v>194075</v>
      </c>
      <c r="E33" s="102" t="s">
        <v>58</v>
      </c>
      <c r="F33" s="69">
        <f t="shared" ref="F33" si="14">+D33/8</f>
        <v>24259.375</v>
      </c>
      <c r="G33" s="102" t="s">
        <v>58</v>
      </c>
      <c r="H33" s="11">
        <v>24405</v>
      </c>
      <c r="I33" s="102" t="s">
        <v>58</v>
      </c>
      <c r="J33" s="17"/>
      <c r="K33" s="17"/>
      <c r="L33" s="17"/>
      <c r="M33" s="17"/>
      <c r="N33" s="17"/>
      <c r="O33" s="17"/>
      <c r="P33" s="17"/>
      <c r="Q33" s="14">
        <f t="shared" ref="Q33" si="15">+D33+H33+J33+L33+N33</f>
        <v>218480</v>
      </c>
      <c r="R33" s="102" t="s">
        <v>58</v>
      </c>
      <c r="S33" s="14">
        <f t="shared" ref="S33" si="16">+Q33/$S$4</f>
        <v>24275.555555555555</v>
      </c>
      <c r="T33" s="102" t="s">
        <v>58</v>
      </c>
    </row>
    <row r="34" spans="1:20">
      <c r="B34" s="19" t="s">
        <v>51</v>
      </c>
      <c r="C34" s="17"/>
      <c r="D34" s="88">
        <f>(10886175+1960564)/D33</f>
        <v>66.194713384001034</v>
      </c>
      <c r="E34" s="54">
        <f>+D34*D33/1000</f>
        <v>12846.739</v>
      </c>
      <c r="F34" s="89">
        <f>+D34</f>
        <v>66.194713384001034</v>
      </c>
      <c r="G34" s="54">
        <f>+F34*F33/1000</f>
        <v>1605.8423749999999</v>
      </c>
      <c r="H34" s="88">
        <f>(1350388.9+246404)/H33</f>
        <v>65.428924400737543</v>
      </c>
      <c r="I34" s="54">
        <f>+H34*H33/1000</f>
        <v>1596.7928999999997</v>
      </c>
      <c r="J34" s="17"/>
      <c r="K34" s="17"/>
      <c r="L34" s="17"/>
      <c r="M34" s="17"/>
      <c r="N34" s="17"/>
      <c r="O34" s="17"/>
      <c r="P34" s="17"/>
      <c r="Q34" s="88">
        <f>(E34+I34+K34+M34)/Q33*1000</f>
        <v>66.109172006590981</v>
      </c>
      <c r="R34" s="54">
        <f>+Q34*Q33/1000</f>
        <v>14443.531899999996</v>
      </c>
      <c r="S34" s="88">
        <f>(G34+K34+M34+O34)/S33*1000</f>
        <v>66.15059215946539</v>
      </c>
      <c r="T34" s="54">
        <f>+S34*S33/1000</f>
        <v>1605.8423749999997</v>
      </c>
    </row>
    <row r="35" spans="1:20">
      <c r="B35" s="19" t="s">
        <v>52</v>
      </c>
      <c r="C35" s="17"/>
      <c r="D35" s="88">
        <f>+D9/D33*1000</f>
        <v>66.194713384001034</v>
      </c>
      <c r="E35" s="91"/>
      <c r="F35" s="89">
        <f>+F9/F33*1000</f>
        <v>66.194713384001034</v>
      </c>
      <c r="G35" s="75"/>
      <c r="H35" s="88">
        <f>+H9/H33*1000</f>
        <v>65.428887523048559</v>
      </c>
      <c r="I35" s="91"/>
      <c r="J35" s="17"/>
      <c r="K35" s="17"/>
      <c r="L35" s="17"/>
      <c r="M35" s="17"/>
      <c r="N35" s="17"/>
      <c r="O35" s="17"/>
      <c r="P35" s="17"/>
      <c r="Q35" s="88">
        <f>+Q9/Q33*1000</f>
        <v>66.109167887220792</v>
      </c>
      <c r="R35" s="60"/>
      <c r="S35" s="88">
        <f>+S9/S33*1000</f>
        <v>66.109167887220792</v>
      </c>
      <c r="T35" s="60"/>
    </row>
    <row r="36" spans="1:20">
      <c r="B36" s="19" t="s">
        <v>56</v>
      </c>
      <c r="C36" s="17"/>
      <c r="D36" s="92">
        <f>+D34-D35-D38*D35</f>
        <v>-64.837068552103673</v>
      </c>
      <c r="E36" s="91"/>
      <c r="F36" s="93">
        <f>+F34-F35-F38*F35</f>
        <v>-64.837068552103673</v>
      </c>
      <c r="G36" s="75"/>
      <c r="H36" s="92">
        <f>+H34-H35-H38*H35</f>
        <v>-64.160081485393476</v>
      </c>
      <c r="I36" s="91"/>
      <c r="J36" s="17"/>
      <c r="K36" s="17"/>
      <c r="L36" s="17"/>
      <c r="M36" s="17"/>
      <c r="N36" s="17"/>
      <c r="O36" s="17"/>
      <c r="P36" s="17"/>
      <c r="Q36" s="92">
        <f>+Q34-Q35-Q38*Q35</f>
        <v>-64.761599120882252</v>
      </c>
      <c r="R36" s="60"/>
      <c r="S36" s="92">
        <f>+S34-S35-S38*S35</f>
        <v>-64.720178968007829</v>
      </c>
      <c r="T36" s="60"/>
    </row>
    <row r="37" spans="1:20">
      <c r="B37" s="19" t="s">
        <v>54</v>
      </c>
      <c r="C37" s="17"/>
      <c r="D37" s="34">
        <f>+D15/(D6+D7+D8+D9)</f>
        <v>0.54708672412815718</v>
      </c>
      <c r="E37" s="94"/>
      <c r="F37" s="73">
        <f>+F15/(F6+F7+F8+F9)</f>
        <v>0.54708672412815718</v>
      </c>
      <c r="G37" s="75"/>
      <c r="H37" s="34">
        <f>+H15/(H6+H7+H8+H9)</f>
        <v>0.51900379022295851</v>
      </c>
      <c r="I37" s="94"/>
      <c r="J37" s="17"/>
      <c r="K37" s="17"/>
      <c r="L37" s="17"/>
      <c r="M37" s="17"/>
      <c r="N37" s="17"/>
      <c r="O37" s="17"/>
      <c r="P37" s="17"/>
      <c r="Q37" s="34">
        <f>+Q15/(Q6+Q7+Q8+Q9)</f>
        <v>0.54392412864070594</v>
      </c>
      <c r="R37" s="90"/>
      <c r="S37" s="34">
        <f>+S15/(S6+S7+S8+S9)</f>
        <v>0.54392412864070594</v>
      </c>
      <c r="T37" s="60"/>
    </row>
    <row r="38" spans="1:20">
      <c r="B38" s="19" t="s">
        <v>53</v>
      </c>
      <c r="C38" s="17"/>
      <c r="D38" s="34">
        <f>+D11/(D6+D7+D8+D9)</f>
        <v>0.97949013202879887</v>
      </c>
      <c r="E38" s="95"/>
      <c r="F38" s="73">
        <f>+F11/(F6+F7+F8+F9)</f>
        <v>0.97949013202879887</v>
      </c>
      <c r="G38" s="61"/>
      <c r="H38" s="34">
        <f>+H11/(H6+H7+H8+H9)</f>
        <v>0.98060842529961778</v>
      </c>
      <c r="I38" s="95"/>
      <c r="J38" s="17"/>
      <c r="K38" s="17"/>
      <c r="L38" s="17"/>
      <c r="M38" s="17"/>
      <c r="N38" s="17"/>
      <c r="O38" s="17"/>
      <c r="P38" s="17"/>
      <c r="Q38" s="34">
        <f>+Q11/(Q6+Q7+Q8+Q9)</f>
        <v>0.9796160700545008</v>
      </c>
      <c r="R38" s="61"/>
      <c r="S38" s="34">
        <f>+S11/(S6+S7+S8+S9)</f>
        <v>0.97961607005450069</v>
      </c>
      <c r="T38" s="61"/>
    </row>
    <row r="39" spans="1:20" ht="7.5" customHeight="1">
      <c r="B39" s="17"/>
      <c r="E39" s="56"/>
      <c r="F39" s="76"/>
      <c r="G39" s="77"/>
      <c r="I39" s="56"/>
      <c r="R39" s="56"/>
      <c r="T39" s="56"/>
    </row>
    <row r="40" spans="1:20">
      <c r="B40" s="21" t="s">
        <v>35</v>
      </c>
      <c r="C40" s="20"/>
      <c r="D40" s="22">
        <f>+D11/(1-(D6+D7+D8+D9)/D5)</f>
        <v>1606132.8006224174</v>
      </c>
      <c r="E40" s="56"/>
      <c r="F40" s="22">
        <f>+F11/(1-(F6+F7+F8+F9)/F5)</f>
        <v>200766.60007780217</v>
      </c>
      <c r="G40" s="77"/>
      <c r="H40" s="22">
        <f>+H11/(1-(H6+H7+H8+H9)/H5)</f>
        <v>49891.62709499152</v>
      </c>
      <c r="I40" s="56"/>
      <c r="Q40" s="22">
        <f>+Q11/(1-(Q6+Q7+Q8+Q9)/Q5)</f>
        <v>1326925.8635542749</v>
      </c>
      <c r="R40" s="62"/>
      <c r="S40" s="22">
        <f>+S11/(1-(S6+S7+S8+S9)/S5)</f>
        <v>147436.20706158533</v>
      </c>
      <c r="T40" s="62"/>
    </row>
    <row r="41" spans="1:20">
      <c r="F41" s="12"/>
    </row>
    <row r="42" spans="1:20">
      <c r="F42" s="12"/>
    </row>
    <row r="43" spans="1:20">
      <c r="F43" s="12"/>
    </row>
    <row r="44" spans="1:20">
      <c r="F44" s="12"/>
    </row>
    <row r="45" spans="1:20">
      <c r="F45" s="12"/>
    </row>
    <row r="46" spans="1:20">
      <c r="F46" s="12"/>
    </row>
    <row r="47" spans="1:20">
      <c r="F47" s="12"/>
    </row>
    <row r="48" spans="1:20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  <row r="78" spans="6:6">
      <c r="F78" s="12"/>
    </row>
    <row r="79" spans="6:6">
      <c r="F79" s="12"/>
    </row>
    <row r="80" spans="6:6">
      <c r="F80" s="12"/>
    </row>
    <row r="81" spans="6:6">
      <c r="F81" s="12"/>
    </row>
    <row r="82" spans="6:6">
      <c r="F82" s="12"/>
    </row>
    <row r="83" spans="6:6">
      <c r="F83" s="12"/>
    </row>
    <row r="84" spans="6:6">
      <c r="F84" s="12"/>
    </row>
    <row r="85" spans="6:6">
      <c r="F85" s="12"/>
    </row>
    <row r="86" spans="6:6">
      <c r="F86" s="12"/>
    </row>
    <row r="87" spans="6:6">
      <c r="F87" s="12"/>
    </row>
    <row r="88" spans="6:6">
      <c r="F88" s="12"/>
    </row>
    <row r="89" spans="6:6">
      <c r="F89" s="12"/>
    </row>
    <row r="90" spans="6:6">
      <c r="F90" s="12"/>
    </row>
    <row r="91" spans="6:6">
      <c r="F91" s="12"/>
    </row>
    <row r="92" spans="6:6">
      <c r="F92" s="12"/>
    </row>
  </sheetData>
  <pageMargins left="0.15748031496062992" right="0.15748031496062992" top="0.23622047244094491" bottom="0.19685039370078741" header="0.15748031496062992" footer="0.15748031496062992"/>
  <pageSetup paperSize="9" scale="76" orientation="landscape" r:id="rId1"/>
  <ignoredErrors>
    <ignoredError sqref="H26 F26 F22 F30 F34 H22 H30 H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2"/>
  <sheetViews>
    <sheetView workbookViewId="0">
      <pane xSplit="3" ySplit="4" topLeftCell="H5" activePane="bottomRight" state="frozen"/>
      <selection pane="topRight" activeCell="C1" sqref="C1"/>
      <selection pane="bottomLeft" activeCell="A5" sqref="A5"/>
      <selection pane="bottomRight" activeCell="I12" sqref="I12"/>
    </sheetView>
  </sheetViews>
  <sheetFormatPr defaultRowHeight="15"/>
  <cols>
    <col min="1" max="1" width="1.7109375" customWidth="1"/>
    <col min="2" max="2" width="27.285156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8" width="16.5703125" customWidth="1"/>
    <col min="9" max="9" width="8.7109375" customWidth="1"/>
    <col min="10" max="10" width="13.7109375" customWidth="1"/>
    <col min="11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9.5703125" customWidth="1"/>
    <col min="19" max="19" width="13.7109375" customWidth="1"/>
    <col min="20" max="20" width="8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20" ht="15.75">
      <c r="B1" s="2" t="s">
        <v>0</v>
      </c>
      <c r="C1" s="45"/>
      <c r="D1" s="45"/>
      <c r="E1" s="45"/>
      <c r="F1" s="63"/>
      <c r="G1" s="46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2:20">
      <c r="B2" s="41" t="s">
        <v>34</v>
      </c>
      <c r="C2" s="45"/>
      <c r="D2" s="3" t="s">
        <v>2</v>
      </c>
      <c r="E2" s="47"/>
      <c r="F2" s="64" t="s">
        <v>14</v>
      </c>
      <c r="G2" s="65"/>
      <c r="H2" s="3" t="s">
        <v>2</v>
      </c>
      <c r="I2" s="47" t="s">
        <v>11</v>
      </c>
      <c r="J2" s="3" t="s">
        <v>2</v>
      </c>
      <c r="K2" s="47" t="s">
        <v>11</v>
      </c>
      <c r="L2" s="3" t="s">
        <v>2</v>
      </c>
      <c r="M2" s="47" t="s">
        <v>11</v>
      </c>
      <c r="N2" s="3" t="s">
        <v>2</v>
      </c>
      <c r="O2" s="45"/>
      <c r="P2" s="45"/>
      <c r="Q2" s="3" t="s">
        <v>2</v>
      </c>
      <c r="R2" s="47" t="s">
        <v>21</v>
      </c>
      <c r="S2" s="48" t="s">
        <v>14</v>
      </c>
      <c r="T2" s="45"/>
    </row>
    <row r="3" spans="2:20">
      <c r="B3" s="43" t="s">
        <v>1</v>
      </c>
      <c r="C3" s="45"/>
      <c r="D3" s="4" t="s">
        <v>3</v>
      </c>
      <c r="E3" s="47" t="s">
        <v>21</v>
      </c>
      <c r="F3" s="66" t="s">
        <v>3</v>
      </c>
      <c r="G3" s="65" t="s">
        <v>21</v>
      </c>
      <c r="H3" s="4" t="s">
        <v>6</v>
      </c>
      <c r="I3" s="49" t="s">
        <v>13</v>
      </c>
      <c r="J3" s="4" t="s">
        <v>8</v>
      </c>
      <c r="K3" s="49" t="s">
        <v>13</v>
      </c>
      <c r="L3" s="4" t="s">
        <v>9</v>
      </c>
      <c r="M3" s="49" t="s">
        <v>13</v>
      </c>
      <c r="N3" s="4" t="s">
        <v>10</v>
      </c>
      <c r="O3" s="45"/>
      <c r="P3" s="45"/>
      <c r="Q3" s="4" t="s">
        <v>12</v>
      </c>
      <c r="R3" s="24"/>
      <c r="S3" s="48" t="s">
        <v>32</v>
      </c>
      <c r="T3" s="24"/>
    </row>
    <row r="4" spans="2:20">
      <c r="B4" s="44">
        <v>9501</v>
      </c>
      <c r="C4" s="45"/>
      <c r="D4" s="43" t="s">
        <v>22</v>
      </c>
      <c r="E4" s="3"/>
      <c r="F4" s="67" t="s">
        <v>22</v>
      </c>
      <c r="G4" s="35"/>
      <c r="H4" s="45"/>
      <c r="I4" s="45"/>
      <c r="J4" s="45"/>
      <c r="K4" s="45"/>
      <c r="L4" s="45"/>
      <c r="M4" s="45"/>
      <c r="N4" s="45"/>
      <c r="O4" s="45"/>
      <c r="P4" s="45"/>
      <c r="Q4" s="45"/>
      <c r="R4" s="3"/>
      <c r="S4" s="48">
        <v>9</v>
      </c>
      <c r="T4" s="3"/>
    </row>
    <row r="5" spans="2:20">
      <c r="B5" s="10" t="s">
        <v>4</v>
      </c>
      <c r="C5" s="17"/>
      <c r="D5" s="9">
        <f>12781.62+0.706+12481.436+2090.693</f>
        <v>27354.455000000002</v>
      </c>
      <c r="E5" s="50">
        <f>+D5/$D$5</f>
        <v>1</v>
      </c>
      <c r="F5" s="68">
        <f t="shared" ref="F5:F12" si="0">+D5/8</f>
        <v>3419.3068750000002</v>
      </c>
      <c r="G5" s="57">
        <f>+F5/$F$5</f>
        <v>1</v>
      </c>
      <c r="H5" s="9">
        <f>1736.29+1518.106+262.472</f>
        <v>3516.8679999999995</v>
      </c>
      <c r="I5" s="50">
        <f>+H5/$H$5</f>
        <v>1</v>
      </c>
      <c r="J5" s="17"/>
      <c r="K5" s="17"/>
      <c r="L5" s="17"/>
      <c r="M5" s="17"/>
      <c r="N5" s="17"/>
      <c r="O5" s="17"/>
      <c r="P5" s="17"/>
      <c r="Q5" s="31">
        <f>+D5+H5+J5+L5+N5</f>
        <v>30871.323</v>
      </c>
      <c r="R5" s="57">
        <f t="shared" ref="R5:R12" si="1">+Q5/$Q$5</f>
        <v>1</v>
      </c>
      <c r="S5" s="31">
        <f>+Q5/$S$4</f>
        <v>3430.1469999999999</v>
      </c>
      <c r="T5" s="53"/>
    </row>
    <row r="6" spans="2:20">
      <c r="B6" s="7" t="s">
        <v>36</v>
      </c>
      <c r="C6" s="17"/>
      <c r="D6" s="11">
        <v>9077.8420000000006</v>
      </c>
      <c r="E6" s="51">
        <f>+D6/D5</f>
        <v>0.33185972815031411</v>
      </c>
      <c r="F6" s="69">
        <f t="shared" si="0"/>
        <v>1134.7302500000001</v>
      </c>
      <c r="G6" s="51">
        <f>+F6/F5</f>
        <v>0.33185972815031411</v>
      </c>
      <c r="H6" s="11">
        <v>1119.9949999999999</v>
      </c>
      <c r="I6" s="51">
        <f>+H6/H5</f>
        <v>0.31846375809384941</v>
      </c>
      <c r="J6" s="17"/>
      <c r="K6" s="17"/>
      <c r="L6" s="17"/>
      <c r="M6" s="17"/>
      <c r="N6" s="17"/>
      <c r="O6" s="17"/>
      <c r="P6" s="17"/>
      <c r="Q6" s="14">
        <f t="shared" ref="Q6:Q12" si="2">+D6+H6+J6+L6+N6</f>
        <v>10197.837</v>
      </c>
      <c r="R6" s="58">
        <f t="shared" si="1"/>
        <v>0.3303336562543821</v>
      </c>
      <c r="S6" s="14">
        <f t="shared" ref="S6:S12" si="3">+Q6/$S$4</f>
        <v>1133.0929999999998</v>
      </c>
      <c r="T6" s="53"/>
    </row>
    <row r="7" spans="2:20">
      <c r="B7" s="7" t="s">
        <v>37</v>
      </c>
      <c r="C7" s="17"/>
      <c r="D7" s="11">
        <v>1158.345</v>
      </c>
      <c r="E7" s="51">
        <f>+D7/D5</f>
        <v>4.2345753187186509E-2</v>
      </c>
      <c r="F7" s="69">
        <f t="shared" si="0"/>
        <v>144.793125</v>
      </c>
      <c r="G7" s="51">
        <f>+F7/F5</f>
        <v>4.2345753187186509E-2</v>
      </c>
      <c r="H7" s="11">
        <v>144.51499999999999</v>
      </c>
      <c r="I7" s="51">
        <f>+H7/H5</f>
        <v>4.1091960232798048E-2</v>
      </c>
      <c r="J7" s="17"/>
      <c r="K7" s="17"/>
      <c r="L7" s="17"/>
      <c r="M7" s="17"/>
      <c r="N7" s="17"/>
      <c r="O7" s="17"/>
      <c r="P7" s="17"/>
      <c r="Q7" s="14">
        <f t="shared" si="2"/>
        <v>1302.8600000000001</v>
      </c>
      <c r="R7" s="58">
        <f t="shared" si="1"/>
        <v>4.2202920814245641E-2</v>
      </c>
      <c r="S7" s="14">
        <f t="shared" si="3"/>
        <v>144.76222222222225</v>
      </c>
      <c r="T7" s="53"/>
    </row>
    <row r="8" spans="2:20">
      <c r="B8" s="7" t="s">
        <v>38</v>
      </c>
      <c r="C8" s="17"/>
      <c r="D8" s="11">
        <v>808.57335</v>
      </c>
      <c r="E8" s="51">
        <f>+D8/D5</f>
        <v>2.9559110207094237E-2</v>
      </c>
      <c r="F8" s="69">
        <f t="shared" si="0"/>
        <v>101.07166875</v>
      </c>
      <c r="G8" s="51">
        <f>+F8/F5</f>
        <v>2.9559110207094237E-2</v>
      </c>
      <c r="H8" s="11">
        <v>138.40600000000001</v>
      </c>
      <c r="I8" s="51">
        <f>+H8/H5</f>
        <v>3.9354903283262271E-2</v>
      </c>
      <c r="J8" s="17"/>
      <c r="K8" s="17"/>
      <c r="L8" s="17"/>
      <c r="M8" s="17"/>
      <c r="N8" s="17"/>
      <c r="O8" s="17"/>
      <c r="P8" s="17"/>
      <c r="Q8" s="14">
        <f t="shared" si="2"/>
        <v>946.97935000000007</v>
      </c>
      <c r="R8" s="58">
        <f t="shared" si="1"/>
        <v>3.0675049138645598E-2</v>
      </c>
      <c r="S8" s="14">
        <f t="shared" si="3"/>
        <v>105.21992777777778</v>
      </c>
      <c r="T8" s="53"/>
    </row>
    <row r="9" spans="2:20">
      <c r="B9" s="7" t="s">
        <v>39</v>
      </c>
      <c r="C9" s="17"/>
      <c r="D9" s="11">
        <f>12481.436+2090.693</f>
        <v>14572.129000000001</v>
      </c>
      <c r="E9" s="51">
        <f>+D9/D5</f>
        <v>0.53271501844946278</v>
      </c>
      <c r="F9" s="69">
        <f t="shared" si="0"/>
        <v>1821.5161250000001</v>
      </c>
      <c r="G9" s="51">
        <f>+F9/F5</f>
        <v>0.53271501844946278</v>
      </c>
      <c r="H9" s="11">
        <f>1518.106+262.472</f>
        <v>1780.578</v>
      </c>
      <c r="I9" s="51">
        <f>+H9/H5</f>
        <v>0.50629651155516786</v>
      </c>
      <c r="J9" s="17"/>
      <c r="K9" s="17"/>
      <c r="L9" s="17"/>
      <c r="M9" s="17"/>
      <c r="N9" s="17"/>
      <c r="O9" s="17"/>
      <c r="P9" s="17"/>
      <c r="Q9" s="14">
        <f t="shared" si="2"/>
        <v>16352.707</v>
      </c>
      <c r="R9" s="58">
        <f t="shared" si="1"/>
        <v>0.52970541625313561</v>
      </c>
      <c r="S9" s="14">
        <f t="shared" si="3"/>
        <v>1816.9674444444445</v>
      </c>
      <c r="T9" s="53"/>
    </row>
    <row r="10" spans="2:20">
      <c r="B10" s="10" t="s">
        <v>7</v>
      </c>
      <c r="C10" s="17"/>
      <c r="D10" s="8">
        <f>+D5-D6-D7-D8-D9</f>
        <v>1737.5656499999986</v>
      </c>
      <c r="E10" s="52">
        <f>+D10/$D$5</f>
        <v>6.3520390005942312E-2</v>
      </c>
      <c r="F10" s="68">
        <f t="shared" si="0"/>
        <v>217.19570624999983</v>
      </c>
      <c r="G10" s="58">
        <f>+F10/$F$5</f>
        <v>6.3520390005942312E-2</v>
      </c>
      <c r="H10" s="8">
        <f>+H5-H6-H7-H8-H9</f>
        <v>333.3739999999998</v>
      </c>
      <c r="I10" s="52">
        <f>+H10/$H$5</f>
        <v>9.4792866834922399E-2</v>
      </c>
      <c r="J10" s="17"/>
      <c r="K10" s="17"/>
      <c r="L10" s="17"/>
      <c r="M10" s="17"/>
      <c r="N10" s="17"/>
      <c r="O10" s="17"/>
      <c r="P10" s="17"/>
      <c r="Q10" s="13">
        <f t="shared" si="2"/>
        <v>2070.9396499999984</v>
      </c>
      <c r="R10" s="58">
        <f t="shared" si="1"/>
        <v>6.7082957539590982E-2</v>
      </c>
      <c r="S10" s="13">
        <f t="shared" si="3"/>
        <v>230.10440555555539</v>
      </c>
      <c r="T10" s="53"/>
    </row>
    <row r="11" spans="2:20">
      <c r="B11" s="7" t="s">
        <v>5</v>
      </c>
      <c r="C11" s="17"/>
      <c r="D11" s="11">
        <f>25054.061-166.452</f>
        <v>24887.609</v>
      </c>
      <c r="E11" s="51">
        <f>+D11/$D$5</f>
        <v>0.9098192232307315</v>
      </c>
      <c r="F11" s="69">
        <f t="shared" si="0"/>
        <v>3110.951125</v>
      </c>
      <c r="G11" s="58">
        <f>+F11/$F$5</f>
        <v>0.9098192232307315</v>
      </c>
      <c r="H11" s="11">
        <v>2914.5619999999999</v>
      </c>
      <c r="I11" s="51">
        <f>+H11/$H$5</f>
        <v>0.82873795661366889</v>
      </c>
      <c r="J11" s="17"/>
      <c r="K11" s="17"/>
      <c r="L11" s="17"/>
      <c r="M11" s="17"/>
      <c r="N11" s="17"/>
      <c r="O11" s="17"/>
      <c r="P11" s="17"/>
      <c r="Q11" s="14">
        <f t="shared" si="2"/>
        <v>27802.171000000002</v>
      </c>
      <c r="R11" s="58">
        <f t="shared" si="1"/>
        <v>0.90058242725781468</v>
      </c>
      <c r="S11" s="14">
        <f t="shared" si="3"/>
        <v>3089.1301111111115</v>
      </c>
      <c r="T11" s="53"/>
    </row>
    <row r="12" spans="2:20">
      <c r="B12" s="19" t="s">
        <v>15</v>
      </c>
      <c r="C12" s="17"/>
      <c r="D12" s="15">
        <f>+D5-D6-D11-D7-D8-D9</f>
        <v>-23150.04335</v>
      </c>
      <c r="E12" s="50">
        <f>+D12/$D$5</f>
        <v>-0.84629883322478916</v>
      </c>
      <c r="F12" s="70">
        <f t="shared" si="0"/>
        <v>-2893.75541875</v>
      </c>
      <c r="G12" s="57">
        <f>+F12/$F$5</f>
        <v>-0.84629883322478916</v>
      </c>
      <c r="H12" s="15">
        <f>+H5-H6-H11-H7-H8-H9</f>
        <v>-2581.1880000000001</v>
      </c>
      <c r="I12" s="50">
        <f>+H12/$H$5</f>
        <v>-0.73394508977874651</v>
      </c>
      <c r="J12" s="17"/>
      <c r="K12" s="17"/>
      <c r="L12" s="17"/>
      <c r="M12" s="17"/>
      <c r="N12" s="17"/>
      <c r="O12" s="17"/>
      <c r="P12" s="17"/>
      <c r="Q12" s="16">
        <f t="shared" si="2"/>
        <v>-25731.231350000002</v>
      </c>
      <c r="R12" s="57">
        <f t="shared" si="1"/>
        <v>-0.83349946971822364</v>
      </c>
      <c r="S12" s="30">
        <f t="shared" si="3"/>
        <v>-2859.0257055555558</v>
      </c>
      <c r="T12" s="53"/>
    </row>
    <row r="13" spans="2:20" ht="7.5" customHeight="1">
      <c r="B13" s="17"/>
      <c r="C13" s="17"/>
      <c r="D13" s="33"/>
      <c r="E13" s="53"/>
      <c r="F13" s="71"/>
      <c r="G13" s="72"/>
      <c r="H13" s="33"/>
      <c r="I13" s="53"/>
      <c r="J13" s="17"/>
      <c r="K13" s="17"/>
      <c r="L13" s="17"/>
      <c r="M13" s="17"/>
      <c r="N13" s="17"/>
      <c r="O13" s="17"/>
      <c r="P13" s="17"/>
      <c r="Q13" s="17"/>
      <c r="R13" s="59"/>
      <c r="S13" s="17"/>
      <c r="T13" s="53"/>
    </row>
    <row r="14" spans="2:20">
      <c r="B14" s="18" t="s">
        <v>18</v>
      </c>
      <c r="C14" s="17"/>
      <c r="D14" s="11">
        <v>78.88</v>
      </c>
      <c r="E14" s="87"/>
      <c r="F14" s="69">
        <v>78.88</v>
      </c>
      <c r="G14" s="72"/>
      <c r="H14" s="11">
        <v>80.88</v>
      </c>
      <c r="I14" s="87"/>
      <c r="J14" s="17"/>
      <c r="K14" s="17"/>
      <c r="L14" s="17"/>
      <c r="M14" s="17"/>
      <c r="N14" s="17"/>
      <c r="O14" s="17"/>
      <c r="P14" s="17"/>
      <c r="Q14" s="14">
        <f>(+F14*8+H14+J14+L14+N14)/S4</f>
        <v>79.102222222222224</v>
      </c>
      <c r="R14" s="53"/>
      <c r="S14" s="14">
        <f>+Q14</f>
        <v>79.102222222222224</v>
      </c>
      <c r="T14" s="53"/>
    </row>
    <row r="15" spans="2:20">
      <c r="B15" s="18" t="s">
        <v>16</v>
      </c>
      <c r="C15" s="17"/>
      <c r="D15" s="11">
        <v>14695.576999999999</v>
      </c>
      <c r="E15" s="87"/>
      <c r="F15" s="69">
        <f>+D15/8</f>
        <v>1836.9471249999999</v>
      </c>
      <c r="G15" s="72"/>
      <c r="H15" s="11">
        <v>1696.4490000000001</v>
      </c>
      <c r="I15" s="87"/>
      <c r="J15" s="17"/>
      <c r="K15" s="17"/>
      <c r="L15" s="17"/>
      <c r="M15" s="17"/>
      <c r="N15" s="17"/>
      <c r="O15" s="17"/>
      <c r="P15" s="17"/>
      <c r="Q15" s="14">
        <f t="shared" ref="Q15" si="4">+D15+H15+J15+L15+N15</f>
        <v>16392.025999999998</v>
      </c>
      <c r="R15" s="53"/>
      <c r="S15" s="14">
        <f t="shared" ref="S15" si="5">+Q15/$S$4</f>
        <v>1821.336222222222</v>
      </c>
      <c r="T15" s="53"/>
    </row>
    <row r="16" spans="2:20">
      <c r="B16" s="19" t="s">
        <v>19</v>
      </c>
      <c r="C16" s="17"/>
      <c r="D16" s="34">
        <f>+D15/D5</f>
        <v>0.53722792137514708</v>
      </c>
      <c r="E16" s="53"/>
      <c r="F16" s="73">
        <f>+F15/F5</f>
        <v>0.53722792137514708</v>
      </c>
      <c r="G16" s="72"/>
      <c r="H16" s="34">
        <f>+H15/H5</f>
        <v>0.4823749427047021</v>
      </c>
      <c r="I16" s="53"/>
      <c r="J16" s="17"/>
      <c r="K16" s="17"/>
      <c r="L16" s="17"/>
      <c r="M16" s="17"/>
      <c r="N16" s="17"/>
      <c r="O16" s="17"/>
      <c r="P16" s="17"/>
      <c r="Q16" s="36">
        <f>+Q15/Q5</f>
        <v>0.53097905781362198</v>
      </c>
      <c r="R16" s="53"/>
      <c r="S16" s="36">
        <f>+S15/S5</f>
        <v>0.53097905781362198</v>
      </c>
      <c r="T16" s="53"/>
    </row>
    <row r="17" spans="1:20">
      <c r="B17" s="19" t="s">
        <v>17</v>
      </c>
      <c r="C17" s="17"/>
      <c r="D17" s="8">
        <f>+D5/D14</f>
        <v>346.78568711967552</v>
      </c>
      <c r="E17" s="53"/>
      <c r="F17" s="74">
        <f>+F5/F14</f>
        <v>43.348210889959439</v>
      </c>
      <c r="G17" s="72"/>
      <c r="H17" s="8">
        <f>+H5/H14</f>
        <v>43.482542037586541</v>
      </c>
      <c r="I17" s="53"/>
      <c r="J17" s="17"/>
      <c r="K17" s="17"/>
      <c r="L17" s="17"/>
      <c r="M17" s="17"/>
      <c r="N17" s="17"/>
      <c r="O17" s="17"/>
      <c r="P17" s="17"/>
      <c r="Q17" s="37">
        <f>+Q5/Q14</f>
        <v>390.27124817395213</v>
      </c>
      <c r="R17" s="53"/>
      <c r="S17" s="37">
        <f>+S5/S14</f>
        <v>43.363472019328015</v>
      </c>
      <c r="T17" s="53"/>
    </row>
    <row r="18" spans="1:20">
      <c r="B18" s="10" t="s">
        <v>33</v>
      </c>
      <c r="C18" s="17"/>
      <c r="D18" s="8">
        <f>+D15/D14</f>
        <v>186.30295385395539</v>
      </c>
      <c r="E18" s="53"/>
      <c r="F18" s="74">
        <f>+F15/F14</f>
        <v>23.287869231744423</v>
      </c>
      <c r="G18" s="72"/>
      <c r="H18" s="8">
        <f>+H15/H14</f>
        <v>20.974888724035612</v>
      </c>
      <c r="I18" s="53"/>
      <c r="J18" s="17"/>
      <c r="K18" s="17"/>
      <c r="L18" s="17"/>
      <c r="M18" s="17"/>
      <c r="N18" s="17"/>
      <c r="O18" s="17"/>
      <c r="P18" s="17"/>
      <c r="Q18" s="37">
        <f>+Q15/Q14</f>
        <v>207.22585964715134</v>
      </c>
      <c r="R18" s="53"/>
      <c r="S18" s="37">
        <f>+S15/S14</f>
        <v>23.025095516350149</v>
      </c>
      <c r="T18" s="53"/>
    </row>
    <row r="19" spans="1:20">
      <c r="B19" s="19" t="s">
        <v>20</v>
      </c>
      <c r="C19" s="17"/>
      <c r="D19" s="34">
        <f>+D15/D10</f>
        <v>8.4575664810132558</v>
      </c>
      <c r="E19" s="53"/>
      <c r="F19" s="73">
        <f>+F15/F10</f>
        <v>8.4575664810132558</v>
      </c>
      <c r="G19" s="72"/>
      <c r="H19" s="34">
        <f>+H15/H10</f>
        <v>5.0887261754066033</v>
      </c>
      <c r="I19" s="53"/>
      <c r="J19" s="17"/>
      <c r="K19" s="17"/>
      <c r="L19" s="17"/>
      <c r="M19" s="17"/>
      <c r="N19" s="17"/>
      <c r="O19" s="17"/>
      <c r="P19" s="17"/>
      <c r="Q19" s="36">
        <f>+Q15/Q10</f>
        <v>7.9152601091007213</v>
      </c>
      <c r="R19" s="53"/>
      <c r="S19" s="36">
        <f>+S15/S10</f>
        <v>7.9152601091007213</v>
      </c>
      <c r="T19" s="53"/>
    </row>
    <row r="20" spans="1:20" ht="7.5" customHeight="1">
      <c r="B20" s="7"/>
      <c r="C20" s="17"/>
      <c r="D20" s="33"/>
      <c r="E20" s="53"/>
      <c r="F20" s="71"/>
      <c r="G20" s="72"/>
      <c r="H20" s="33"/>
      <c r="I20" s="53"/>
      <c r="J20" s="17"/>
      <c r="K20" s="17"/>
      <c r="L20" s="17"/>
      <c r="M20" s="17"/>
      <c r="N20" s="17"/>
      <c r="O20" s="17"/>
      <c r="P20" s="17"/>
      <c r="Q20" s="17"/>
      <c r="R20" s="53"/>
      <c r="S20" s="17"/>
      <c r="T20" s="53"/>
    </row>
    <row r="21" spans="1:20">
      <c r="A21">
        <v>1</v>
      </c>
      <c r="B21" s="18" t="s">
        <v>40</v>
      </c>
      <c r="C21" s="17"/>
      <c r="D21" s="11">
        <v>272598</v>
      </c>
      <c r="E21" s="102" t="s">
        <v>58</v>
      </c>
      <c r="F21" s="69">
        <f t="shared" ref="F21" si="6">+D21/8</f>
        <v>34074.75</v>
      </c>
      <c r="G21" s="102" t="s">
        <v>58</v>
      </c>
      <c r="H21" s="11">
        <v>33345</v>
      </c>
      <c r="I21" s="102" t="s">
        <v>58</v>
      </c>
      <c r="J21" s="17"/>
      <c r="K21" s="17"/>
      <c r="L21" s="17"/>
      <c r="M21" s="17"/>
      <c r="N21" s="17"/>
      <c r="O21" s="17"/>
      <c r="P21" s="17"/>
      <c r="Q21" s="14">
        <f>+D21+H21+J21+L21+N21</f>
        <v>305943</v>
      </c>
      <c r="R21" s="102" t="s">
        <v>58</v>
      </c>
      <c r="S21" s="14">
        <f t="shared" ref="S21" si="7">+Q21/$S$4</f>
        <v>33993.666666666664</v>
      </c>
      <c r="T21" s="102" t="s">
        <v>58</v>
      </c>
    </row>
    <row r="22" spans="1:20">
      <c r="B22" s="19" t="s">
        <v>41</v>
      </c>
      <c r="C22" s="17"/>
      <c r="D22" s="88">
        <f>(8156190+993848)/D21</f>
        <v>33.566049640863099</v>
      </c>
      <c r="E22" s="54">
        <f>+D22*D21/1000</f>
        <v>9150.0380000000005</v>
      </c>
      <c r="F22" s="89">
        <f>+D22</f>
        <v>33.566049640863099</v>
      </c>
      <c r="G22" s="54">
        <f>+F22*F21/1000</f>
        <v>1143.7547500000001</v>
      </c>
      <c r="H22" s="88">
        <f>(1062294+131036)/H21</f>
        <v>35.78737441895337</v>
      </c>
      <c r="I22" s="54">
        <f>+H22*H21/1000</f>
        <v>1193.33</v>
      </c>
      <c r="J22" s="17"/>
      <c r="K22" s="17"/>
      <c r="L22" s="17"/>
      <c r="M22" s="17"/>
      <c r="N22" s="17"/>
      <c r="O22" s="17"/>
      <c r="P22" s="17"/>
      <c r="Q22" s="88">
        <f>(E22+I22+K22+M22)/Q21*1000</f>
        <v>33.808153806427995</v>
      </c>
      <c r="R22" s="54">
        <f>+Q22*Q21/1000</f>
        <v>10343.368</v>
      </c>
      <c r="S22" s="88">
        <f>+F22</f>
        <v>33.566049640863099</v>
      </c>
      <c r="T22" s="54">
        <f>+S22*S21/1000</f>
        <v>1141.0331028082865</v>
      </c>
    </row>
    <row r="23" spans="1:20">
      <c r="B23" s="19" t="s">
        <v>42</v>
      </c>
      <c r="C23" s="17"/>
      <c r="D23" s="88">
        <f>+D6/D21*1000</f>
        <v>33.301205438044306</v>
      </c>
      <c r="E23" s="91"/>
      <c r="F23" s="89">
        <f>+F6/F21*1000</f>
        <v>33.301205438044306</v>
      </c>
      <c r="G23" s="75"/>
      <c r="H23" s="88">
        <f>+H6/H21*1000</f>
        <v>33.588094167041533</v>
      </c>
      <c r="I23" s="91"/>
      <c r="J23" s="17"/>
      <c r="K23" s="17"/>
      <c r="L23" s="17"/>
      <c r="M23" s="17"/>
      <c r="N23" s="17"/>
      <c r="O23" s="17"/>
      <c r="P23" s="17"/>
      <c r="Q23" s="88">
        <f>+Q6/Q21*1000</f>
        <v>33.33247369608064</v>
      </c>
      <c r="R23" s="91"/>
      <c r="S23" s="88">
        <f>+S6/S21*1000</f>
        <v>33.33247369608064</v>
      </c>
      <c r="T23" s="91"/>
    </row>
    <row r="24" spans="1:20">
      <c r="B24" s="19" t="s">
        <v>48</v>
      </c>
      <c r="C24" s="17"/>
      <c r="D24" s="92">
        <f>+D22-D23-D38*D23</f>
        <v>-32.08831815218511</v>
      </c>
      <c r="E24" s="91"/>
      <c r="F24" s="93">
        <f>+F22-F23-F38*F23</f>
        <v>-32.08831815218511</v>
      </c>
      <c r="G24" s="75"/>
      <c r="H24" s="92">
        <f>+H22-H23-H38*H23</f>
        <v>-28.551392723027302</v>
      </c>
      <c r="I24" s="91"/>
      <c r="J24" s="17"/>
      <c r="K24" s="17"/>
      <c r="L24" s="17"/>
      <c r="M24" s="17"/>
      <c r="N24" s="17"/>
      <c r="O24" s="17"/>
      <c r="P24" s="17"/>
      <c r="Q24" s="92">
        <f>+Q22-Q23-Q38</f>
        <v>-0.48966019995792454</v>
      </c>
      <c r="R24" s="91"/>
      <c r="S24" s="92">
        <f>+S22-S23-S38</f>
        <v>-0.73176436552282098</v>
      </c>
      <c r="T24" s="91"/>
    </row>
    <row r="25" spans="1:20">
      <c r="A25">
        <v>2</v>
      </c>
      <c r="B25" s="18" t="s">
        <v>43</v>
      </c>
      <c r="C25" s="17"/>
      <c r="D25" s="11">
        <v>38994</v>
      </c>
      <c r="E25" s="102" t="s">
        <v>58</v>
      </c>
      <c r="F25" s="69">
        <f t="shared" ref="F25" si="8">+D25/8</f>
        <v>4874.25</v>
      </c>
      <c r="G25" s="102" t="s">
        <v>58</v>
      </c>
      <c r="H25" s="11">
        <v>5078</v>
      </c>
      <c r="I25" s="102" t="s">
        <v>58</v>
      </c>
      <c r="J25" s="17"/>
      <c r="K25" s="17"/>
      <c r="L25" s="17"/>
      <c r="M25" s="17"/>
      <c r="N25" s="17"/>
      <c r="O25" s="17"/>
      <c r="P25" s="17"/>
      <c r="Q25" s="14">
        <f t="shared" ref="Q25" si="9">+D25+H25+J25+L25+N25</f>
        <v>44072</v>
      </c>
      <c r="R25" s="102" t="s">
        <v>58</v>
      </c>
      <c r="S25" s="14">
        <f t="shared" ref="S25" si="10">+Q25/$S$4</f>
        <v>4896.8888888888887</v>
      </c>
      <c r="T25" s="102" t="s">
        <v>58</v>
      </c>
    </row>
    <row r="26" spans="1:20">
      <c r="B26" s="19" t="s">
        <v>44</v>
      </c>
      <c r="C26" s="17"/>
      <c r="D26" s="88">
        <f>2434180/D25</f>
        <v>62.424475560342614</v>
      </c>
      <c r="E26" s="54">
        <f>+D26*D25/1000</f>
        <v>2434.1799999999998</v>
      </c>
      <c r="F26" s="89">
        <f>+D26</f>
        <v>62.424475560342614</v>
      </c>
      <c r="G26" s="54">
        <f>+F26*F25/1000</f>
        <v>304.27249999999998</v>
      </c>
      <c r="H26" s="88">
        <f>318522.98/H25</f>
        <v>62.726069318629378</v>
      </c>
      <c r="I26" s="54">
        <f>+H26*H25/1000</f>
        <v>318.52297999999996</v>
      </c>
      <c r="J26" s="17"/>
      <c r="K26" s="17"/>
      <c r="L26" s="17"/>
      <c r="M26" s="17"/>
      <c r="N26" s="17"/>
      <c r="O26" s="17"/>
      <c r="P26" s="17"/>
      <c r="Q26" s="88">
        <f>(E26+I26+K26+M26)/Q25*1000</f>
        <v>62.45922535850427</v>
      </c>
      <c r="R26" s="54">
        <f>+Q26*Q25/1000</f>
        <v>2752.70298</v>
      </c>
      <c r="S26" s="88">
        <f>+Q26</f>
        <v>62.45922535850427</v>
      </c>
      <c r="T26" s="54">
        <f>+S26*S25/1000</f>
        <v>305.85588666666666</v>
      </c>
    </row>
    <row r="27" spans="1:20">
      <c r="B27" s="19" t="s">
        <v>45</v>
      </c>
      <c r="C27" s="17"/>
      <c r="D27" s="88">
        <f>+D7/D25*1000</f>
        <v>29.70572395753193</v>
      </c>
      <c r="E27" s="91"/>
      <c r="F27" s="89">
        <f>+F7/F25*1000</f>
        <v>29.70572395753193</v>
      </c>
      <c r="G27" s="75"/>
      <c r="H27" s="88">
        <f>+H7/H25*1000</f>
        <v>28.459038991729024</v>
      </c>
      <c r="I27" s="91"/>
      <c r="J27" s="17"/>
      <c r="K27" s="17"/>
      <c r="L27" s="17"/>
      <c r="M27" s="17"/>
      <c r="N27" s="17"/>
      <c r="O27" s="17"/>
      <c r="P27" s="17"/>
      <c r="Q27" s="88">
        <f>+Q7/Q25*1000</f>
        <v>29.562080232347071</v>
      </c>
      <c r="R27" s="91"/>
      <c r="S27" s="88">
        <f>+S7/S25*1000</f>
        <v>29.562080232347078</v>
      </c>
      <c r="T27" s="91"/>
    </row>
    <row r="28" spans="1:20">
      <c r="B28" s="19" t="s">
        <v>57</v>
      </c>
      <c r="C28" s="17"/>
      <c r="D28" s="92">
        <f>+D26-D27-D38*D27</f>
        <v>3.8587119307032189</v>
      </c>
      <c r="E28" s="91"/>
      <c r="F28" s="93">
        <f>+F26-F27-F38*F27</f>
        <v>3.8587119307032189</v>
      </c>
      <c r="G28" s="75"/>
      <c r="H28" s="92">
        <f>+H26-H27-H38*H27</f>
        <v>8.212125369701841</v>
      </c>
      <c r="I28" s="91"/>
      <c r="J28" s="17"/>
      <c r="K28" s="17"/>
      <c r="L28" s="17"/>
      <c r="M28" s="17"/>
      <c r="N28" s="17"/>
      <c r="O28" s="17"/>
      <c r="P28" s="17"/>
      <c r="Q28" s="92">
        <f>+Q26-Q27-Q38</f>
        <v>31.931804815851919</v>
      </c>
      <c r="R28" s="91"/>
      <c r="S28" s="92">
        <f>+S26-S27-S38</f>
        <v>31.931804815851912</v>
      </c>
      <c r="T28" s="91"/>
    </row>
    <row r="29" spans="1:20">
      <c r="A29">
        <v>3</v>
      </c>
      <c r="B29" s="18" t="s">
        <v>46</v>
      </c>
      <c r="C29" s="17"/>
      <c r="D29" s="11">
        <v>22873</v>
      </c>
      <c r="E29" s="102" t="s">
        <v>58</v>
      </c>
      <c r="F29" s="69">
        <f t="shared" ref="F29" si="11">+D29/8</f>
        <v>2859.125</v>
      </c>
      <c r="G29" s="102" t="s">
        <v>58</v>
      </c>
      <c r="H29" s="11">
        <v>4239</v>
      </c>
      <c r="I29" s="102" t="s">
        <v>58</v>
      </c>
      <c r="J29" s="17"/>
      <c r="K29" s="17"/>
      <c r="L29" s="17"/>
      <c r="M29" s="17"/>
      <c r="N29" s="17"/>
      <c r="O29" s="17"/>
      <c r="P29" s="17"/>
      <c r="Q29" s="14">
        <f t="shared" ref="Q29" si="12">+D29+H29+J29+L29+N29</f>
        <v>27112</v>
      </c>
      <c r="R29" s="102" t="s">
        <v>58</v>
      </c>
      <c r="S29" s="14">
        <f t="shared" ref="S29" si="13">+Q29/$S$4</f>
        <v>3012.4444444444443</v>
      </c>
      <c r="T29" s="102" t="s">
        <v>58</v>
      </c>
    </row>
    <row r="30" spans="1:20">
      <c r="B30" s="19" t="s">
        <v>49</v>
      </c>
      <c r="C30" s="17"/>
      <c r="D30" s="88">
        <f>(750451+410570)/D29</f>
        <v>50.7594543785249</v>
      </c>
      <c r="E30" s="54">
        <f>+D30*D29/1000</f>
        <v>1161.021</v>
      </c>
      <c r="F30" s="89">
        <f>+D30</f>
        <v>50.7594543785249</v>
      </c>
      <c r="G30" s="54">
        <f>+F30*F29/1000</f>
        <v>145.12762499999999</v>
      </c>
      <c r="H30" s="88">
        <f>(147823+76090.05)/H29</f>
        <v>52.822139655579143</v>
      </c>
      <c r="I30" s="54">
        <f>+H30*H29/1000</f>
        <v>223.91305</v>
      </c>
      <c r="J30" s="17"/>
      <c r="K30" s="17"/>
      <c r="L30" s="17"/>
      <c r="M30" s="17"/>
      <c r="N30" s="17"/>
      <c r="O30" s="17"/>
      <c r="P30" s="17"/>
      <c r="Q30" s="88">
        <f>(E30+I30+K30+M30)/Q29*1000</f>
        <v>51.0819581735025</v>
      </c>
      <c r="R30" s="54">
        <f>+Q30*Q29/1000</f>
        <v>1384.9340499999998</v>
      </c>
      <c r="S30" s="88">
        <f>+Q30</f>
        <v>51.0819581735025</v>
      </c>
      <c r="T30" s="54">
        <f>+S30*S29/1000</f>
        <v>153.88156111111107</v>
      </c>
    </row>
    <row r="31" spans="1:20">
      <c r="B31" s="19" t="s">
        <v>50</v>
      </c>
      <c r="C31" s="17"/>
      <c r="D31" s="88">
        <f>+D8/D29*1000</f>
        <v>35.350559611769334</v>
      </c>
      <c r="E31" s="91"/>
      <c r="F31" s="89">
        <f>+F8/F29*1000</f>
        <v>35.350559611769334</v>
      </c>
      <c r="G31" s="75"/>
      <c r="H31" s="88">
        <f>+H8/H29*1000</f>
        <v>32.650625147440437</v>
      </c>
      <c r="I31" s="91"/>
      <c r="J31" s="17"/>
      <c r="K31" s="17"/>
      <c r="L31" s="17"/>
      <c r="M31" s="17"/>
      <c r="N31" s="17"/>
      <c r="O31" s="17"/>
      <c r="P31" s="17"/>
      <c r="Q31" s="88">
        <f>+Q8/Q29*1000</f>
        <v>34.928420994393633</v>
      </c>
      <c r="R31" s="91"/>
      <c r="S31" s="88">
        <f>+S8/S29*1000</f>
        <v>34.928420994393633</v>
      </c>
      <c r="T31" s="91"/>
    </row>
    <row r="32" spans="1:20">
      <c r="B32" s="19" t="s">
        <v>55</v>
      </c>
      <c r="C32" s="17"/>
      <c r="D32" s="92">
        <f>+D30-D31-D38*D31</f>
        <v>-18.935279247834806</v>
      </c>
      <c r="E32" s="91"/>
      <c r="F32" s="93">
        <f>+F30-F31-F38*F31</f>
        <v>-18.935279247834806</v>
      </c>
      <c r="G32" s="75"/>
      <c r="H32" s="92">
        <f>+H30-H31-H38*H31</f>
        <v>-9.7208840109017878</v>
      </c>
      <c r="I32" s="91"/>
      <c r="J32" s="17"/>
      <c r="K32" s="17"/>
      <c r="L32" s="17"/>
      <c r="M32" s="17"/>
      <c r="N32" s="17"/>
      <c r="O32" s="17"/>
      <c r="P32" s="17"/>
      <c r="Q32" s="92">
        <f>+Q30-Q31-Q38</f>
        <v>15.188196868803587</v>
      </c>
      <c r="R32" s="91"/>
      <c r="S32" s="92">
        <f>+S30-S31-S38</f>
        <v>15.188196868803587</v>
      </c>
      <c r="T32" s="91"/>
    </row>
    <row r="33" spans="1:20">
      <c r="A33">
        <v>4</v>
      </c>
      <c r="B33" s="18" t="s">
        <v>47</v>
      </c>
      <c r="C33" s="17"/>
      <c r="D33" s="11">
        <v>202787</v>
      </c>
      <c r="E33" s="102" t="s">
        <v>58</v>
      </c>
      <c r="F33" s="69">
        <f t="shared" ref="F33" si="14">+D33/8</f>
        <v>25348.375</v>
      </c>
      <c r="G33" s="102" t="s">
        <v>58</v>
      </c>
      <c r="H33" s="11">
        <v>25085</v>
      </c>
      <c r="I33" s="102" t="s">
        <v>58</v>
      </c>
      <c r="J33" s="17"/>
      <c r="K33" s="17"/>
      <c r="L33" s="17"/>
      <c r="M33" s="17"/>
      <c r="N33" s="17"/>
      <c r="O33" s="17"/>
      <c r="P33" s="17"/>
      <c r="Q33" s="14">
        <f t="shared" ref="Q33" si="15">+D33+H33+J33+L33+N33</f>
        <v>227872</v>
      </c>
      <c r="R33" s="102" t="s">
        <v>58</v>
      </c>
      <c r="S33" s="14">
        <f t="shared" ref="S33" si="16">+Q33/$S$4</f>
        <v>25319.111111111109</v>
      </c>
      <c r="T33" s="102" t="s">
        <v>58</v>
      </c>
    </row>
    <row r="34" spans="1:20">
      <c r="B34" s="19" t="s">
        <v>51</v>
      </c>
      <c r="C34" s="17"/>
      <c r="D34" s="88">
        <f>(12481436.34+2090693.24)/D33</f>
        <v>71.859288711801057</v>
      </c>
      <c r="E34" s="54">
        <f>+D34*D33/1000</f>
        <v>14572.129580000001</v>
      </c>
      <c r="F34" s="89">
        <f>+D34</f>
        <v>71.859288711801057</v>
      </c>
      <c r="G34" s="54">
        <f>+F34*F33/1000</f>
        <v>1821.5161975000001</v>
      </c>
      <c r="H34" s="88">
        <f>(1518106.53+262472.96)/H33</f>
        <v>70.981841339445879</v>
      </c>
      <c r="I34" s="54">
        <f>+H34*H33/1000</f>
        <v>1780.5794899999999</v>
      </c>
      <c r="J34" s="17"/>
      <c r="K34" s="17"/>
      <c r="L34" s="17"/>
      <c r="M34" s="17"/>
      <c r="N34" s="17"/>
      <c r="O34" s="17"/>
      <c r="P34" s="17"/>
      <c r="Q34" s="88">
        <f>(E34+I34+K34+M34)/Q33*1000</f>
        <v>71.762696031105193</v>
      </c>
      <c r="R34" s="54">
        <f>+Q34*Q33/1000</f>
        <v>16352.709070000003</v>
      </c>
      <c r="S34" s="88">
        <f>+Q34</f>
        <v>71.762696031105193</v>
      </c>
      <c r="T34" s="54">
        <f>+S34*S33/1000</f>
        <v>1816.9676744444448</v>
      </c>
    </row>
    <row r="35" spans="1:20">
      <c r="B35" s="19" t="s">
        <v>52</v>
      </c>
      <c r="C35" s="17"/>
      <c r="D35" s="88">
        <f>+D9/D33*1000</f>
        <v>71.859285851657162</v>
      </c>
      <c r="E35" s="91"/>
      <c r="F35" s="89">
        <f>+F9/F33*1000</f>
        <v>71.859285851657162</v>
      </c>
      <c r="G35" s="75"/>
      <c r="H35" s="88">
        <f>+H9/H33*1000</f>
        <v>70.981781941399248</v>
      </c>
      <c r="I35" s="91"/>
      <c r="J35" s="17"/>
      <c r="K35" s="17"/>
      <c r="L35" s="17"/>
      <c r="M35" s="17"/>
      <c r="N35" s="17"/>
      <c r="O35" s="17"/>
      <c r="P35" s="17"/>
      <c r="Q35" s="88">
        <f>+Q9/Q33*1000</f>
        <v>71.762686947058</v>
      </c>
      <c r="R35" s="60"/>
      <c r="S35" s="88">
        <f>+S9/S33*1000</f>
        <v>71.762686947058</v>
      </c>
      <c r="T35" s="60"/>
    </row>
    <row r="36" spans="1:20">
      <c r="B36" s="19" t="s">
        <v>56</v>
      </c>
      <c r="C36" s="17"/>
      <c r="D36" s="92">
        <f>+D34-D35-D38*D35</f>
        <v>-69.813540262150752</v>
      </c>
      <c r="E36" s="91"/>
      <c r="F36" s="93">
        <f>+F34-F35-F38*F35</f>
        <v>-69.813540262150752</v>
      </c>
      <c r="G36" s="75"/>
      <c r="H36" s="92">
        <f>+H34-H35-H38*H35</f>
        <v>-64.985395055044364</v>
      </c>
      <c r="I36" s="91"/>
      <c r="J36" s="17"/>
      <c r="K36" s="17"/>
      <c r="L36" s="17"/>
      <c r="M36" s="17"/>
      <c r="N36" s="17"/>
      <c r="O36" s="17"/>
      <c r="P36" s="17"/>
      <c r="Q36" s="92">
        <f>+Q34-Q35-Q38*Q35</f>
        <v>-69.275405401766406</v>
      </c>
      <c r="R36" s="60"/>
      <c r="S36" s="92">
        <f>+S34-S35-S38*S35</f>
        <v>-69.275405401766406</v>
      </c>
      <c r="T36" s="60"/>
    </row>
    <row r="37" spans="1:20">
      <c r="B37" s="19" t="s">
        <v>54</v>
      </c>
      <c r="C37" s="17"/>
      <c r="D37" s="34">
        <f>+D15/(D6+D7+D8+D9)</f>
        <v>0.57366750502827923</v>
      </c>
      <c r="E37" s="94"/>
      <c r="F37" s="73">
        <f>+F15/(F6+F7+F8+F9)</f>
        <v>0.57366750502827923</v>
      </c>
      <c r="G37" s="75"/>
      <c r="H37" s="34">
        <f>+H15/(H6+H7+H8+H9)</f>
        <v>0.53288902067979405</v>
      </c>
      <c r="I37" s="94"/>
      <c r="J37" s="17"/>
      <c r="K37" s="17"/>
      <c r="L37" s="17"/>
      <c r="M37" s="17"/>
      <c r="N37" s="17"/>
      <c r="O37" s="17"/>
      <c r="P37" s="40"/>
      <c r="Q37" s="34">
        <f>+Q15/(Q6+Q7+Q8+Q9)</f>
        <v>0.569159993490156</v>
      </c>
      <c r="R37" s="90"/>
      <c r="S37" s="34">
        <f>+S15/(S6+S7+S8+S9)</f>
        <v>0.56915999349015611</v>
      </c>
      <c r="T37" s="75"/>
    </row>
    <row r="38" spans="1:20">
      <c r="B38" s="19" t="s">
        <v>53</v>
      </c>
      <c r="C38" s="17"/>
      <c r="D38" s="34">
        <f>+D11/(D6+D7+D8+D9)</f>
        <v>0.97153126829585179</v>
      </c>
      <c r="E38" s="95"/>
      <c r="F38" s="73">
        <f>+F11/(F6+F7+F8+F9)</f>
        <v>0.97153126829585179</v>
      </c>
      <c r="G38" s="61"/>
      <c r="H38" s="34">
        <f>+H11/(H6+H7+H8+H9)</f>
        <v>0.91552300711105472</v>
      </c>
      <c r="I38" s="95"/>
      <c r="J38" s="17"/>
      <c r="K38" s="17"/>
      <c r="L38" s="17"/>
      <c r="M38" s="17"/>
      <c r="N38" s="17"/>
      <c r="O38" s="17"/>
      <c r="P38" s="17"/>
      <c r="Q38" s="34">
        <f>+Q11/(Q6+Q7+Q8+Q9)</f>
        <v>0.96534031030527945</v>
      </c>
      <c r="R38" s="61"/>
      <c r="S38" s="34">
        <f>+S11/(S6+S7+S8+S9)</f>
        <v>0.96534031030527956</v>
      </c>
      <c r="T38" s="61"/>
    </row>
    <row r="39" spans="1:20" ht="7.5" customHeight="1">
      <c r="B39" s="17"/>
      <c r="E39" s="56"/>
      <c r="F39" s="76"/>
      <c r="G39" s="77"/>
      <c r="I39" s="56"/>
      <c r="R39" s="56"/>
      <c r="T39" s="56"/>
    </row>
    <row r="40" spans="1:20">
      <c r="B40" s="21" t="s">
        <v>35</v>
      </c>
      <c r="C40" s="20"/>
      <c r="D40" s="22">
        <f>+D11/(1-(D6+D7+D8+D9)/D5)</f>
        <v>391805.04083290044</v>
      </c>
      <c r="E40" s="56"/>
      <c r="F40" s="22">
        <f>+F11/(1-(F6+F7+F8+F9)/F5)</f>
        <v>48975.630104112555</v>
      </c>
      <c r="G40" s="77"/>
      <c r="H40" s="22">
        <f>+H11/(1-(H6+H7+H8+H9)/H5)</f>
        <v>30746.638405562539</v>
      </c>
      <c r="I40" s="56"/>
      <c r="Q40" s="22">
        <f>+Q11/(1-(Q6+Q7+Q8+Q9)/Q5)</f>
        <v>414444.62229608331</v>
      </c>
      <c r="R40" s="62"/>
      <c r="S40" s="22">
        <f>+S11/(1-(S6+S7+S8+S9)/S5)</f>
        <v>46049.402477342519</v>
      </c>
      <c r="T40" s="62"/>
    </row>
    <row r="41" spans="1:20">
      <c r="F41" s="12"/>
    </row>
    <row r="42" spans="1:20">
      <c r="F42" s="12"/>
    </row>
    <row r="43" spans="1:20">
      <c r="F43" s="12"/>
    </row>
    <row r="44" spans="1:20">
      <c r="F44" s="12"/>
    </row>
    <row r="45" spans="1:20">
      <c r="F45" s="12"/>
    </row>
    <row r="46" spans="1:20">
      <c r="F46" s="12"/>
    </row>
    <row r="47" spans="1:20">
      <c r="F47" s="12"/>
    </row>
    <row r="48" spans="1:20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  <row r="78" spans="6:6">
      <c r="F78" s="12"/>
    </row>
    <row r="79" spans="6:6">
      <c r="F79" s="12"/>
    </row>
    <row r="80" spans="6:6">
      <c r="F80" s="12"/>
    </row>
    <row r="81" spans="6:6">
      <c r="F81" s="12"/>
    </row>
    <row r="82" spans="6:6">
      <c r="F82" s="12"/>
    </row>
    <row r="83" spans="6:6">
      <c r="F83" s="12"/>
    </row>
    <row r="84" spans="6:6">
      <c r="F84" s="12"/>
    </row>
    <row r="85" spans="6:6">
      <c r="F85" s="12"/>
    </row>
    <row r="86" spans="6:6">
      <c r="F86" s="12"/>
    </row>
    <row r="87" spans="6:6">
      <c r="F87" s="12"/>
    </row>
    <row r="88" spans="6:6">
      <c r="F88" s="12"/>
    </row>
    <row r="89" spans="6:6">
      <c r="F89" s="12"/>
    </row>
    <row r="90" spans="6:6">
      <c r="F90" s="12"/>
    </row>
    <row r="91" spans="6:6">
      <c r="F91" s="12"/>
    </row>
    <row r="92" spans="6:6">
      <c r="F92" s="12"/>
    </row>
  </sheetData>
  <pageMargins left="0.16" right="0.15748031496062992" top="0.15748031496062992" bottom="0.78740157480314965" header="0.11811023622047245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2013</vt:lpstr>
      <vt:lpstr>2014</vt:lpstr>
      <vt:lpstr>'2013'!Oblast_tisku</vt:lpstr>
      <vt:lpstr>'2014'!Oblast_tisku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2014-11-04T06:49:04Z</cp:lastPrinted>
  <dcterms:created xsi:type="dcterms:W3CDTF">2014-10-14T11:21:48Z</dcterms:created>
  <dcterms:modified xsi:type="dcterms:W3CDTF">2014-11-04T06:49:06Z</dcterms:modified>
</cp:coreProperties>
</file>