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040" windowHeight="1059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'2014'!$B$1:$AQ$26</definedName>
    <definedName name="_xlnm.Print_Area" localSheetId="3">'2015'!$B$1:$AQ$26</definedName>
    <definedName name="_xlnm.Print_Area" localSheetId="1">CoM!$A$1:$M$26</definedName>
    <definedName name="_xlnm.Print_Area" localSheetId="0">CoY!$A$1:$M$26</definedName>
  </definedNames>
  <calcPr calcId="125725"/>
</workbook>
</file>

<file path=xl/calcChain.xml><?xml version="1.0" encoding="utf-8"?>
<calcChain xmlns="http://schemas.openxmlformats.org/spreadsheetml/2006/main">
  <c r="S20" i="1"/>
  <c r="S6"/>
  <c r="S5"/>
  <c r="S8" i="7"/>
  <c r="S5"/>
  <c r="H20" i="6" l="1"/>
  <c r="H19"/>
  <c r="H18"/>
  <c r="G20"/>
  <c r="G19"/>
  <c r="G18"/>
  <c r="G12"/>
  <c r="G11"/>
  <c r="G8"/>
  <c r="G6"/>
  <c r="G5"/>
  <c r="F4"/>
  <c r="E20"/>
  <c r="E19"/>
  <c r="E18"/>
  <c r="D20"/>
  <c r="D19"/>
  <c r="D18"/>
  <c r="D12"/>
  <c r="D11"/>
  <c r="D8"/>
  <c r="D6"/>
  <c r="D5"/>
  <c r="P12" i="7"/>
  <c r="P8"/>
  <c r="P6"/>
  <c r="P5"/>
  <c r="P20"/>
  <c r="P8" i="1"/>
  <c r="P20"/>
  <c r="P6"/>
  <c r="P5"/>
  <c r="N18" i="7" l="1"/>
  <c r="M18"/>
  <c r="N19"/>
  <c r="M19"/>
  <c r="M20"/>
  <c r="M12"/>
  <c r="M8"/>
  <c r="M6"/>
  <c r="M20" i="1"/>
  <c r="M6"/>
  <c r="J8" i="7" l="1"/>
  <c r="J6"/>
  <c r="J20" i="1"/>
  <c r="J6"/>
  <c r="AP11" i="7" l="1"/>
  <c r="AP11" i="1" l="1"/>
  <c r="AS11" s="1"/>
  <c r="AS11" i="7"/>
  <c r="G12"/>
  <c r="G8"/>
  <c r="H8" s="1"/>
  <c r="G6"/>
  <c r="H6" s="1"/>
  <c r="E9"/>
  <c r="E8"/>
  <c r="E7"/>
  <c r="E6"/>
  <c r="E5"/>
  <c r="H5"/>
  <c r="K8"/>
  <c r="K6"/>
  <c r="K5"/>
  <c r="N8"/>
  <c r="N6"/>
  <c r="N5"/>
  <c r="Q8"/>
  <c r="Q6"/>
  <c r="Q5"/>
  <c r="T8"/>
  <c r="T6"/>
  <c r="T5"/>
  <c r="G20" i="1"/>
  <c r="E9"/>
  <c r="E8"/>
  <c r="E7"/>
  <c r="E6"/>
  <c r="E5"/>
  <c r="H9"/>
  <c r="H8"/>
  <c r="H7"/>
  <c r="H6"/>
  <c r="H5"/>
  <c r="K8"/>
  <c r="K6"/>
  <c r="K5"/>
  <c r="N8"/>
  <c r="N6"/>
  <c r="N5"/>
  <c r="Q8"/>
  <c r="Q6"/>
  <c r="Q5"/>
  <c r="T8"/>
  <c r="T6"/>
  <c r="T5"/>
  <c r="G6"/>
  <c r="D20"/>
  <c r="D15"/>
  <c r="D14"/>
  <c r="D13"/>
  <c r="D7"/>
  <c r="D16" s="1"/>
  <c r="D6"/>
  <c r="D9" s="1"/>
  <c r="I4" i="6" l="1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T9" s="1"/>
  <c r="P9"/>
  <c r="Q9" s="1"/>
  <c r="M9"/>
  <c r="N9" s="1"/>
  <c r="J9"/>
  <c r="K9" s="1"/>
  <c r="G9"/>
  <c r="H9" s="1"/>
  <c r="D9"/>
  <c r="AP8"/>
  <c r="D8" i="5" s="1"/>
  <c r="AM8" i="7"/>
  <c r="AL8"/>
  <c r="AJ8"/>
  <c r="AI8"/>
  <c r="AG8"/>
  <c r="AF8"/>
  <c r="AD8"/>
  <c r="AC8"/>
  <c r="AA8"/>
  <c r="Z8"/>
  <c r="X8"/>
  <c r="W8"/>
  <c r="U8"/>
  <c r="R8"/>
  <c r="O8"/>
  <c r="L8"/>
  <c r="I8"/>
  <c r="F8"/>
  <c r="AK7"/>
  <c r="AK16" s="1"/>
  <c r="AI7"/>
  <c r="AH7"/>
  <c r="AH16" s="1"/>
  <c r="AE7"/>
  <c r="AE16" s="1"/>
  <c r="AC7"/>
  <c r="AB7"/>
  <c r="AB16" s="1"/>
  <c r="Y7"/>
  <c r="Y16" s="1"/>
  <c r="W7"/>
  <c r="V7"/>
  <c r="V16" s="1"/>
  <c r="S7"/>
  <c r="P7"/>
  <c r="M7"/>
  <c r="J7"/>
  <c r="G7"/>
  <c r="D7"/>
  <c r="D16" s="1"/>
  <c r="AP6"/>
  <c r="AM6"/>
  <c r="AL6"/>
  <c r="AJ6"/>
  <c r="AI6"/>
  <c r="AG6"/>
  <c r="AF6"/>
  <c r="AD6"/>
  <c r="AC6"/>
  <c r="AA6"/>
  <c r="Z6"/>
  <c r="X6"/>
  <c r="W6"/>
  <c r="U6"/>
  <c r="R6"/>
  <c r="O6"/>
  <c r="L6"/>
  <c r="I6"/>
  <c r="F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R5"/>
  <c r="O5"/>
  <c r="L5"/>
  <c r="I5"/>
  <c r="F5"/>
  <c r="F9" s="1"/>
  <c r="AR4"/>
  <c r="AU4" s="1"/>
  <c r="AK9" i="1"/>
  <c r="AK7"/>
  <c r="AH9"/>
  <c r="AH7"/>
  <c r="AE9"/>
  <c r="AE7"/>
  <c r="AB9"/>
  <c r="AB7"/>
  <c r="Y9"/>
  <c r="Y7"/>
  <c r="V9"/>
  <c r="V7"/>
  <c r="S9"/>
  <c r="T9" s="1"/>
  <c r="S7"/>
  <c r="P9"/>
  <c r="Q9" s="1"/>
  <c r="P7"/>
  <c r="M9"/>
  <c r="N9" s="1"/>
  <c r="M7"/>
  <c r="J9"/>
  <c r="K9" s="1"/>
  <c r="J7"/>
  <c r="AQ20"/>
  <c r="AQ19"/>
  <c r="AQ18"/>
  <c r="AP20"/>
  <c r="AP19"/>
  <c r="AP18"/>
  <c r="AP12"/>
  <c r="AR4"/>
  <c r="AP8"/>
  <c r="AP6"/>
  <c r="AP5"/>
  <c r="G9"/>
  <c r="G7"/>
  <c r="E24"/>
  <c r="D24"/>
  <c r="E22"/>
  <c r="D22"/>
  <c r="E21"/>
  <c r="E23" s="1"/>
  <c r="D21"/>
  <c r="D23" s="1"/>
  <c r="F20"/>
  <c r="F19"/>
  <c r="F18"/>
  <c r="F12"/>
  <c r="F11"/>
  <c r="F8"/>
  <c r="F6"/>
  <c r="F5"/>
  <c r="F9" s="1"/>
  <c r="H24"/>
  <c r="G24"/>
  <c r="H22"/>
  <c r="G22"/>
  <c r="H21"/>
  <c r="H23" s="1"/>
  <c r="G21"/>
  <c r="G23" s="1"/>
  <c r="I20"/>
  <c r="I19"/>
  <c r="I18"/>
  <c r="G15"/>
  <c r="G14"/>
  <c r="G13"/>
  <c r="I12"/>
  <c r="I11"/>
  <c r="I8"/>
  <c r="I6"/>
  <c r="I5"/>
  <c r="I9" s="1"/>
  <c r="K24"/>
  <c r="J24"/>
  <c r="K22"/>
  <c r="J22"/>
  <c r="K21"/>
  <c r="K23" s="1"/>
  <c r="J21"/>
  <c r="J23" s="1"/>
  <c r="L20"/>
  <c r="L19"/>
  <c r="L18"/>
  <c r="J15"/>
  <c r="J14"/>
  <c r="J13"/>
  <c r="L12"/>
  <c r="L11"/>
  <c r="L8"/>
  <c r="L6"/>
  <c r="L5"/>
  <c r="N24"/>
  <c r="M24"/>
  <c r="N22"/>
  <c r="M22"/>
  <c r="N21"/>
  <c r="N23" s="1"/>
  <c r="M21"/>
  <c r="M23" s="1"/>
  <c r="O20"/>
  <c r="O19"/>
  <c r="O18"/>
  <c r="M15"/>
  <c r="M14"/>
  <c r="M13"/>
  <c r="O12"/>
  <c r="O11"/>
  <c r="O8"/>
  <c r="O6"/>
  <c r="O5"/>
  <c r="Q24"/>
  <c r="P24"/>
  <c r="Q22"/>
  <c r="P22"/>
  <c r="Q21"/>
  <c r="Q23" s="1"/>
  <c r="P21"/>
  <c r="P23" s="1"/>
  <c r="R20"/>
  <c r="R19"/>
  <c r="R18"/>
  <c r="P15"/>
  <c r="P14"/>
  <c r="P13"/>
  <c r="R12"/>
  <c r="R11"/>
  <c r="R8"/>
  <c r="R6"/>
  <c r="R5"/>
  <c r="W24"/>
  <c r="V24"/>
  <c r="W22"/>
  <c r="V22"/>
  <c r="W21"/>
  <c r="W23" s="1"/>
  <c r="V21"/>
  <c r="V23" s="1"/>
  <c r="X20"/>
  <c r="X19"/>
  <c r="X18"/>
  <c r="V15"/>
  <c r="V14"/>
  <c r="V13"/>
  <c r="X12"/>
  <c r="X11"/>
  <c r="W8"/>
  <c r="X8"/>
  <c r="W7"/>
  <c r="X6"/>
  <c r="W6"/>
  <c r="X5"/>
  <c r="X7" s="1"/>
  <c r="W5"/>
  <c r="Z24"/>
  <c r="Y24"/>
  <c r="Z22"/>
  <c r="Y22"/>
  <c r="Z21"/>
  <c r="Z23" s="1"/>
  <c r="Y21"/>
  <c r="Y23" s="1"/>
  <c r="Y15"/>
  <c r="Y14"/>
  <c r="Y13"/>
  <c r="Z8"/>
  <c r="Y16"/>
  <c r="Z6"/>
  <c r="Z5"/>
  <c r="AC6"/>
  <c r="AC5"/>
  <c r="G7" i="6" l="1"/>
  <c r="T7" i="1"/>
  <c r="U9" i="7"/>
  <c r="S16"/>
  <c r="D7" i="6"/>
  <c r="T7" i="7"/>
  <c r="R9"/>
  <c r="P16"/>
  <c r="Q7"/>
  <c r="AP9" i="1"/>
  <c r="Q7"/>
  <c r="AP7"/>
  <c r="R7"/>
  <c r="O9" i="7"/>
  <c r="M16"/>
  <c r="N7"/>
  <c r="O7" i="1"/>
  <c r="N7"/>
  <c r="L9" i="7"/>
  <c r="J16"/>
  <c r="K7"/>
  <c r="L7" i="1"/>
  <c r="K7"/>
  <c r="I9" i="7"/>
  <c r="G16"/>
  <c r="H7"/>
  <c r="F4" i="5"/>
  <c r="AR6" i="7"/>
  <c r="AR18"/>
  <c r="E20" i="5"/>
  <c r="E19"/>
  <c r="E18"/>
  <c r="AP22" i="7"/>
  <c r="AP24"/>
  <c r="D18" i="5"/>
  <c r="D20"/>
  <c r="D11"/>
  <c r="D6"/>
  <c r="AP26" i="7"/>
  <c r="AP9"/>
  <c r="AQ9" s="1"/>
  <c r="D5" i="5"/>
  <c r="AT24" i="7"/>
  <c r="AT21"/>
  <c r="AT23" s="1"/>
  <c r="AT22"/>
  <c r="AU11"/>
  <c r="AR5"/>
  <c r="AQ6"/>
  <c r="AS6"/>
  <c r="AU6" s="1"/>
  <c r="F7"/>
  <c r="L7"/>
  <c r="R7"/>
  <c r="X7"/>
  <c r="Z7"/>
  <c r="AD7"/>
  <c r="AF7"/>
  <c r="AJ7"/>
  <c r="AL7"/>
  <c r="AP7"/>
  <c r="AQ8"/>
  <c r="AS8"/>
  <c r="AR11"/>
  <c r="AR12"/>
  <c r="AS18"/>
  <c r="AU18" s="1"/>
  <c r="AS19"/>
  <c r="AS20"/>
  <c r="AQ21"/>
  <c r="AQ23" s="1"/>
  <c r="AQ22"/>
  <c r="AQ24"/>
  <c r="AQ5"/>
  <c r="AS5"/>
  <c r="I7"/>
  <c r="O7"/>
  <c r="U7"/>
  <c r="AA7"/>
  <c r="AG7"/>
  <c r="AM7"/>
  <c r="AR8"/>
  <c r="AS12"/>
  <c r="AP13"/>
  <c r="AP15"/>
  <c r="AR19"/>
  <c r="AR20"/>
  <c r="AP21"/>
  <c r="AP23" s="1"/>
  <c r="I7" i="1"/>
  <c r="F7"/>
  <c r="D26"/>
  <c r="G16"/>
  <c r="G26"/>
  <c r="W9"/>
  <c r="L9"/>
  <c r="J16"/>
  <c r="J26"/>
  <c r="O9"/>
  <c r="M16"/>
  <c r="M26"/>
  <c r="R9"/>
  <c r="P16"/>
  <c r="P26"/>
  <c r="X9"/>
  <c r="V16"/>
  <c r="V26"/>
  <c r="Y26"/>
  <c r="Z9"/>
  <c r="Z7"/>
  <c r="AS9" i="7" l="1"/>
  <c r="AS15"/>
  <c r="AS13"/>
  <c r="AU12"/>
  <c r="AS22"/>
  <c r="AU19"/>
  <c r="AR9"/>
  <c r="AR7"/>
  <c r="AS14"/>
  <c r="AU5"/>
  <c r="AS24"/>
  <c r="AS21"/>
  <c r="AS23" s="1"/>
  <c r="AU20"/>
  <c r="AU8"/>
  <c r="AS26"/>
  <c r="AS7"/>
  <c r="AS16" s="1"/>
  <c r="AQ7"/>
  <c r="AP16"/>
  <c r="AU9" l="1"/>
  <c r="AU7"/>
  <c r="AL24" i="1"/>
  <c r="AL22"/>
  <c r="AL21"/>
  <c r="AL23" s="1"/>
  <c r="AK24" l="1"/>
  <c r="AK22"/>
  <c r="AK21"/>
  <c r="AK23" s="1"/>
  <c r="AM20"/>
  <c r="AM19"/>
  <c r="AM18"/>
  <c r="AM12" l="1"/>
  <c r="AM11"/>
  <c r="AL5"/>
  <c r="AM5"/>
  <c r="AK15"/>
  <c r="AK14"/>
  <c r="AK13"/>
  <c r="AM6" l="1"/>
  <c r="AL6"/>
  <c r="AM7"/>
  <c r="AL9" l="1"/>
  <c r="AK26"/>
  <c r="AL8"/>
  <c r="AM8"/>
  <c r="AM9" s="1"/>
  <c r="AL7"/>
  <c r="AK16"/>
  <c r="AJ6" l="1"/>
  <c r="AI8"/>
  <c r="AI6"/>
  <c r="AI5"/>
  <c r="AI24"/>
  <c r="AH24"/>
  <c r="AI22"/>
  <c r="AH22"/>
  <c r="AI21"/>
  <c r="AI23" s="1"/>
  <c r="AH21"/>
  <c r="AH23" s="1"/>
  <c r="AJ20"/>
  <c r="AJ19"/>
  <c r="AJ18"/>
  <c r="AH15"/>
  <c r="AH14"/>
  <c r="AH13"/>
  <c r="AJ12"/>
  <c r="AJ11"/>
  <c r="AI9"/>
  <c r="AJ8"/>
  <c r="AI7"/>
  <c r="AJ5"/>
  <c r="AJ9" l="1"/>
  <c r="AJ7"/>
  <c r="AH16"/>
  <c r="AH26"/>
  <c r="AF24" l="1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F7"/>
  <c r="AG6"/>
  <c r="AF6"/>
  <c r="AG5"/>
  <c r="AG9" s="1"/>
  <c r="AF5"/>
  <c r="AG7" l="1"/>
  <c r="AF8"/>
  <c r="AF9"/>
  <c r="AE16"/>
  <c r="AE26"/>
  <c r="AD20" l="1"/>
  <c r="AD19"/>
  <c r="AD18"/>
  <c r="AA20"/>
  <c r="AA19"/>
  <c r="AA18"/>
  <c r="U20"/>
  <c r="U19"/>
  <c r="U18"/>
  <c r="AC22"/>
  <c r="AD12"/>
  <c r="AD11"/>
  <c r="AD6"/>
  <c r="AD5"/>
  <c r="AA12"/>
  <c r="AA11"/>
  <c r="AA8"/>
  <c r="AA6"/>
  <c r="AA5"/>
  <c r="AA9" s="1"/>
  <c r="T22"/>
  <c r="AC24"/>
  <c r="AB24"/>
  <c r="T24"/>
  <c r="S24"/>
  <c r="U12"/>
  <c r="U11"/>
  <c r="U6"/>
  <c r="U5"/>
  <c r="I4" i="5" l="1"/>
  <c r="AU4" i="1"/>
  <c r="AD7"/>
  <c r="AA7"/>
  <c r="U7"/>
  <c r="U8" l="1"/>
  <c r="U9" s="1"/>
  <c r="AC8" l="1"/>
  <c r="AD8"/>
  <c r="AD9" s="1"/>
  <c r="I19" i="6"/>
  <c r="I18"/>
  <c r="I12"/>
  <c r="I11"/>
  <c r="I8"/>
  <c r="I6"/>
  <c r="I5"/>
  <c r="F19"/>
  <c r="F18"/>
  <c r="F11"/>
  <c r="F12"/>
  <c r="F8"/>
  <c r="F6"/>
  <c r="F5"/>
  <c r="G11" i="5"/>
  <c r="AB22" i="1"/>
  <c r="AC21"/>
  <c r="AC23" s="1"/>
  <c r="AB15"/>
  <c r="AB14"/>
  <c r="AB13"/>
  <c r="AC9"/>
  <c r="H18" i="5"/>
  <c r="G19"/>
  <c r="G18"/>
  <c r="G12"/>
  <c r="G5"/>
  <c r="T21" i="1"/>
  <c r="T23" s="1"/>
  <c r="S21"/>
  <c r="AR6" l="1"/>
  <c r="G6" i="5"/>
  <c r="AR8" i="1"/>
  <c r="G8" i="5"/>
  <c r="F11"/>
  <c r="F12"/>
  <c r="F8"/>
  <c r="D24" i="6"/>
  <c r="F20"/>
  <c r="L5"/>
  <c r="I7"/>
  <c r="I9"/>
  <c r="H24"/>
  <c r="E22"/>
  <c r="L8"/>
  <c r="L12"/>
  <c r="L19"/>
  <c r="F20" i="5"/>
  <c r="F9" i="6"/>
  <c r="F7"/>
  <c r="E24"/>
  <c r="G24"/>
  <c r="I20"/>
  <c r="L20" s="1"/>
  <c r="L6"/>
  <c r="L11"/>
  <c r="L18"/>
  <c r="H22"/>
  <c r="I12" i="5"/>
  <c r="L12" s="1"/>
  <c r="AR12" i="1"/>
  <c r="I19" i="5"/>
  <c r="AR19" i="1"/>
  <c r="AQ22"/>
  <c r="I5" i="5"/>
  <c r="AR5" i="1"/>
  <c r="AS18"/>
  <c r="AU18" s="1"/>
  <c r="AR18"/>
  <c r="H20" i="5"/>
  <c r="AQ24" i="1"/>
  <c r="AU11"/>
  <c r="AR11"/>
  <c r="E7" i="6"/>
  <c r="E21" i="5"/>
  <c r="AB26" i="1"/>
  <c r="AB21"/>
  <c r="AB23" s="1"/>
  <c r="AC7"/>
  <c r="D15" i="5"/>
  <c r="F18"/>
  <c r="F6"/>
  <c r="D14" i="6"/>
  <c r="J18"/>
  <c r="E6"/>
  <c r="D22"/>
  <c r="AQ21" i="1"/>
  <c r="AQ23" s="1"/>
  <c r="AS6"/>
  <c r="AU6" s="1"/>
  <c r="AQ6"/>
  <c r="I6" i="5"/>
  <c r="AS8" i="1"/>
  <c r="AU8" s="1"/>
  <c r="AP26"/>
  <c r="AQ8"/>
  <c r="I8" i="5"/>
  <c r="K12"/>
  <c r="AQ5" i="1"/>
  <c r="AP13"/>
  <c r="AP15"/>
  <c r="G20" i="5"/>
  <c r="AP22" i="1"/>
  <c r="AS5"/>
  <c r="AS12"/>
  <c r="AU12" s="1"/>
  <c r="AS19"/>
  <c r="AT19"/>
  <c r="H19" i="5"/>
  <c r="H22" s="1"/>
  <c r="AP14" i="1"/>
  <c r="AT18"/>
  <c r="AT20"/>
  <c r="H21" i="6"/>
  <c r="H23" s="1"/>
  <c r="E21"/>
  <c r="E23" s="1"/>
  <c r="J19"/>
  <c r="J11"/>
  <c r="D26"/>
  <c r="E5"/>
  <c r="E8"/>
  <c r="K11"/>
  <c r="K18"/>
  <c r="K19"/>
  <c r="G22"/>
  <c r="D9"/>
  <c r="E9" s="1"/>
  <c r="D13"/>
  <c r="D15"/>
  <c r="D21"/>
  <c r="H5" i="5"/>
  <c r="S23" i="1"/>
  <c r="S22"/>
  <c r="G21" i="6"/>
  <c r="G23" s="1"/>
  <c r="J12"/>
  <c r="S15" i="1"/>
  <c r="S14"/>
  <c r="S13"/>
  <c r="K5" i="6"/>
  <c r="S26" i="1"/>
  <c r="L8" i="5" l="1"/>
  <c r="E23"/>
  <c r="L6"/>
  <c r="G13"/>
  <c r="H21"/>
  <c r="L21" s="1"/>
  <c r="J12"/>
  <c r="J24" i="6"/>
  <c r="K24"/>
  <c r="L9"/>
  <c r="E24" i="5"/>
  <c r="D24"/>
  <c r="E22"/>
  <c r="L7" i="6"/>
  <c r="AP24" i="1"/>
  <c r="AR20"/>
  <c r="AR7"/>
  <c r="AR9"/>
  <c r="H24" i="5"/>
  <c r="H23"/>
  <c r="AS22" i="1"/>
  <c r="AU19"/>
  <c r="AS14"/>
  <c r="AU5"/>
  <c r="AT24"/>
  <c r="AT22"/>
  <c r="G22" i="5"/>
  <c r="I18"/>
  <c r="L18" s="1"/>
  <c r="D13"/>
  <c r="J13" s="1"/>
  <c r="F5"/>
  <c r="K19"/>
  <c r="F19"/>
  <c r="L19" s="1"/>
  <c r="G15"/>
  <c r="K15" s="1"/>
  <c r="I11"/>
  <c r="L11" s="1"/>
  <c r="I7"/>
  <c r="I9"/>
  <c r="E6"/>
  <c r="K11"/>
  <c r="G14"/>
  <c r="J11"/>
  <c r="D7"/>
  <c r="D16" s="1"/>
  <c r="E8"/>
  <c r="J5"/>
  <c r="K5"/>
  <c r="D22"/>
  <c r="J22" s="1"/>
  <c r="J19"/>
  <c r="AB16" i="1"/>
  <c r="K6" i="5"/>
  <c r="D21"/>
  <c r="D23" s="1"/>
  <c r="D9"/>
  <c r="E9" s="1"/>
  <c r="D26"/>
  <c r="D14"/>
  <c r="E5"/>
  <c r="K20" i="6"/>
  <c r="L21"/>
  <c r="AT21" i="1"/>
  <c r="AT23" s="1"/>
  <c r="G7" i="5"/>
  <c r="K18"/>
  <c r="J18"/>
  <c r="AS20" i="1"/>
  <c r="AP21"/>
  <c r="AP23" s="1"/>
  <c r="K8" i="5"/>
  <c r="J8"/>
  <c r="J8" i="6"/>
  <c r="J15" i="5"/>
  <c r="K22"/>
  <c r="K13"/>
  <c r="M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E7"/>
  <c r="G26"/>
  <c r="H8"/>
  <c r="I20" l="1"/>
  <c r="L20" s="1"/>
  <c r="G24"/>
  <c r="AS21" i="1"/>
  <c r="AS23" s="1"/>
  <c r="AS24"/>
  <c r="AU20"/>
  <c r="AU9"/>
  <c r="AU7"/>
  <c r="F7" i="5"/>
  <c r="L7" s="1"/>
  <c r="F9"/>
  <c r="L9" s="1"/>
  <c r="L5"/>
  <c r="K7"/>
  <c r="K14"/>
  <c r="K14" i="6"/>
  <c r="K15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S16" i="1"/>
  <c r="J24" i="5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<sst xmlns="http://schemas.openxmlformats.org/spreadsheetml/2006/main" count="326" uniqueCount="64">
  <si>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</si>
  <si>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</si>
  <si>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</si>
  <si>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</si>
  <si>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</si>
  <si>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</si>
  <si>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</si>
  <si>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</si>
  <si>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</si>
  <si>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</si>
  <si>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</si>
  <si>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</si>
  <si>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</si>
  <si>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</si>
  <si>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</si>
  <si>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</si>
  <si>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</si>
  <si>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</si>
  <si>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</si>
  <si>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</si>
  <si>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</si>
  <si>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</si>
  <si>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</si>
  <si>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</si>
  <si>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</si>
  <si>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</si>
  <si>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</si>
  <si>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</si>
  <si>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</si>
  <si>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</si>
  <si>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</si>
  <si>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</si>
  <si>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</si>
  <si>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</si>
  <si>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vnitřní</t>
  </si>
  <si>
    <t>BOD ZLOMU 9402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</si>
  <si>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</si>
  <si>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</si>
  <si>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</si>
  <si>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</si>
  <si>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</si>
  <si>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</si>
  <si>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 2014</t>
  </si>
  <si>
    <t xml:space="preserve"> prosinec 2015</t>
  </si>
  <si>
    <t xml:space="preserve"> listopad 2015</t>
  </si>
  <si>
    <t xml:space="preserve"> říjen 2015</t>
  </si>
  <si>
    <t xml:space="preserve"> září 2015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</si>
  <si>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</si>
  <si>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</si>
  <si>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</si>
  <si>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</si>
  <si>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</si>
  <si>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</si>
  <si>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</si>
  <si>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</si>
  <si>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</si>
  <si>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</si>
  <si>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</si>
  <si>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</si>
  <si>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</si>
  <si>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>2015/2014</t>
  </si>
  <si>
    <t>2015 - 2014</t>
  </si>
  <si>
    <t xml:space="preserve"> 1 - 6 2014</t>
  </si>
  <si>
    <t xml:space="preserve"> 1 - 6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</si>
</sst>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2" fontId="22" fillId="0" borderId="0" xfId="0" applyNumberFormat="1" applyFont="1" applyBorder="1"/>
    <xf numFmtId="4" fontId="26" fillId="0" borderId="0" xfId="0" applyNumberFormat="1" applyFont="1" applyBorder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27" fillId="0" borderId="0" xfId="0" applyFont="1" applyBorder="1"/>
    <xf numFmtId="166" fontId="22" fillId="0" borderId="0" xfId="0" applyNumberFormat="1" applyFont="1" applyAlignment="1"/>
    <xf numFmtId="2" fontId="22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4" fontId="9" fillId="0" borderId="0" xfId="0" applyNumberFormat="1" applyFont="1" applyBorder="1"/>
    <xf numFmtId="0" fontId="0" fillId="0" borderId="0" xfId="0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2" sqref="G2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+'2014'!AR4</f>
        <v>10</v>
      </c>
      <c r="G4" s="22" t="s">
        <v>25</v>
      </c>
      <c r="H4" s="3" t="s">
        <v>26</v>
      </c>
      <c r="I4" s="3">
        <f>+'2015'!AR4</f>
        <v>10</v>
      </c>
      <c r="J4" s="25"/>
    </row>
    <row r="5" spans="2:21">
      <c r="B5" s="10" t="s">
        <v>3</v>
      </c>
      <c r="C5" s="16"/>
      <c r="D5" s="8">
        <f>+'2014'!AP5</f>
        <v>6531.6699999999992</v>
      </c>
      <c r="E5" s="54">
        <f>+D5/$D$5</f>
        <v>1</v>
      </c>
      <c r="F5" s="85">
        <f>+D5/F4</f>
        <v>653.16699999999992</v>
      </c>
      <c r="G5" s="13">
        <f>+'2015'!AP5</f>
        <v>8125.1200000000008</v>
      </c>
      <c r="H5" s="54">
        <f>+G5/$G$5</f>
        <v>1</v>
      </c>
      <c r="I5" s="85">
        <f>+G5/I4</f>
        <v>812.51200000000006</v>
      </c>
      <c r="J5" s="77">
        <f t="shared" ref="J5:J24" si="0">+G5/D5</f>
        <v>1.2439575177557962</v>
      </c>
      <c r="K5" s="78">
        <f>+G5-D5</f>
        <v>1593.4500000000016</v>
      </c>
      <c r="L5" s="78">
        <f>+I5-F5</f>
        <v>159.34500000000014</v>
      </c>
      <c r="M5" s="57"/>
    </row>
    <row r="6" spans="2:21">
      <c r="B6" s="7" t="s">
        <v>4</v>
      </c>
      <c r="C6" s="16"/>
      <c r="D6" s="11">
        <f>+'2014'!AP6</f>
        <v>508.00050554959989</v>
      </c>
      <c r="E6" s="55">
        <f>+D6/$D$5</f>
        <v>7.7774980295942681E-2</v>
      </c>
      <c r="F6" s="67">
        <f>+D6/F4</f>
        <v>50.800050554959988</v>
      </c>
      <c r="G6" s="14">
        <f>+'2015'!AP6</f>
        <v>534.28214000000003</v>
      </c>
      <c r="H6" s="55">
        <f>+G6/$G$5</f>
        <v>6.5756830668347047E-2</v>
      </c>
      <c r="I6" s="67">
        <f>+G6/I4</f>
        <v>53.428214000000004</v>
      </c>
      <c r="J6" s="79">
        <f t="shared" si="0"/>
        <v>1.0517354494007174</v>
      </c>
      <c r="K6" s="80">
        <f>+G6-D6</f>
        <v>26.281634450400134</v>
      </c>
      <c r="L6" s="80">
        <f>+I6-F6</f>
        <v>2.6281634450400162</v>
      </c>
      <c r="M6" s="57"/>
    </row>
    <row r="7" spans="2:21">
      <c r="B7" s="10" t="s">
        <v>7</v>
      </c>
      <c r="C7" s="16"/>
      <c r="D7" s="8">
        <f>+D5-D6</f>
        <v>6023.6694944503997</v>
      </c>
      <c r="E7" s="56">
        <f>+D7/$D$5</f>
        <v>0.92222501970405735</v>
      </c>
      <c r="F7" s="87">
        <f>+F5-F6</f>
        <v>602.36694944503995</v>
      </c>
      <c r="G7" s="8">
        <f>+G5-G6</f>
        <v>7590.8378600000005</v>
      </c>
      <c r="H7" s="56">
        <f>+G7/$G$5</f>
        <v>0.93424316933165297</v>
      </c>
      <c r="I7" s="87">
        <f>+I5-I6</f>
        <v>759.08378600000003</v>
      </c>
      <c r="J7" s="81">
        <f t="shared" si="0"/>
        <v>1.2601683852331924</v>
      </c>
      <c r="K7" s="78">
        <f>+G7-D7</f>
        <v>1567.1683655496008</v>
      </c>
      <c r="L7" s="78">
        <f>+I7-F7</f>
        <v>156.71683655496008</v>
      </c>
      <c r="M7" s="57"/>
    </row>
    <row r="8" spans="2:21">
      <c r="B8" s="7" t="s">
        <v>5</v>
      </c>
      <c r="C8" s="16"/>
      <c r="D8" s="11">
        <f>+'2014'!AP8</f>
        <v>6067.0545653339996</v>
      </c>
      <c r="E8" s="55">
        <f>+D8/$D$5</f>
        <v>0.92886728284405062</v>
      </c>
      <c r="F8" s="67">
        <f>+D8/F4</f>
        <v>606.70545653339991</v>
      </c>
      <c r="G8" s="14">
        <f>+'2015'!AP8</f>
        <v>7487.8958199999997</v>
      </c>
      <c r="H8" s="55">
        <f>+G8/$G$5</f>
        <v>0.92157356691347314</v>
      </c>
      <c r="I8" s="67">
        <f>+G8/I4</f>
        <v>748.789582</v>
      </c>
      <c r="J8" s="79">
        <f t="shared" si="0"/>
        <v>1.2341896284870122</v>
      </c>
      <c r="K8" s="80">
        <f>+G8-D8</f>
        <v>1420.8412546660002</v>
      </c>
      <c r="L8" s="80">
        <f>+I8-F8</f>
        <v>142.08412546660009</v>
      </c>
      <c r="M8" s="57"/>
    </row>
    <row r="9" spans="2:21">
      <c r="B9" s="18" t="s">
        <v>13</v>
      </c>
      <c r="C9" s="16"/>
      <c r="D9" s="15">
        <f>+D5-D6-D8</f>
        <v>-43.385070883599838</v>
      </c>
      <c r="E9" s="54">
        <f>+D9/$D$5</f>
        <v>-6.6422631399932703E-3</v>
      </c>
      <c r="F9" s="15">
        <f>+F5-F6-F8</f>
        <v>-4.338507088359961</v>
      </c>
      <c r="G9" s="15">
        <f>+G5-G6-G8</f>
        <v>102.94204000000082</v>
      </c>
      <c r="H9" s="54">
        <f>+G9/$G$5</f>
        <v>1.2669602418179769E-2</v>
      </c>
      <c r="I9" s="15">
        <f>+I5-I6-I8</f>
        <v>10.294204000000036</v>
      </c>
      <c r="J9" s="81">
        <f t="shared" si="0"/>
        <v>-2.3727526059871979</v>
      </c>
      <c r="K9" s="78">
        <f>+G9-D9</f>
        <v>146.32711088360065</v>
      </c>
      <c r="L9" s="78">
        <f>+I9-F9</f>
        <v>14.632711088359997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+'2014'!AP11</f>
        <v>168</v>
      </c>
      <c r="E11" s="57"/>
      <c r="F11" s="67">
        <f>+D11/F4</f>
        <v>16.8</v>
      </c>
      <c r="G11" s="28">
        <f>+'2015'!AP11</f>
        <v>168</v>
      </c>
      <c r="H11" s="57"/>
      <c r="I11" s="67">
        <f>+G11/I4</f>
        <v>16.8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+'2014'!AP12</f>
        <v>4999.1318514429995</v>
      </c>
      <c r="E12" s="57"/>
      <c r="F12" s="67">
        <f>+D12/F4</f>
        <v>499.91318514429997</v>
      </c>
      <c r="G12" s="14">
        <f>+'2015'!AP12</f>
        <v>5839.4006099999997</v>
      </c>
      <c r="H12" s="57"/>
      <c r="I12" s="67">
        <f>+G12/I4</f>
        <v>583.94006100000001</v>
      </c>
      <c r="J12" s="79">
        <f t="shared" si="0"/>
        <v>1.1680829359030522</v>
      </c>
      <c r="K12" s="80">
        <f t="shared" si="1"/>
        <v>840.26875855700018</v>
      </c>
      <c r="L12" s="80">
        <f>+I12-F12</f>
        <v>84.026875855700041</v>
      </c>
      <c r="M12" s="57"/>
    </row>
    <row r="13" spans="2:21">
      <c r="B13" s="18" t="s">
        <v>19</v>
      </c>
      <c r="C13" s="16"/>
      <c r="D13" s="33">
        <f>+D12/D5</f>
        <v>0.76536809903791836</v>
      </c>
      <c r="E13" s="57"/>
      <c r="F13" s="33"/>
      <c r="G13" s="33">
        <f>+G12/G5</f>
        <v>0.71868484526997745</v>
      </c>
      <c r="H13" s="57"/>
      <c r="I13" s="33"/>
      <c r="J13" s="77">
        <f t="shared" si="0"/>
        <v>0.93900548791277993</v>
      </c>
      <c r="K13" s="54">
        <f t="shared" si="1"/>
        <v>-4.6683253767940913E-2</v>
      </c>
      <c r="L13" s="57"/>
      <c r="M13" s="57"/>
    </row>
    <row r="14" spans="2:21">
      <c r="B14" s="18" t="s">
        <v>15</v>
      </c>
      <c r="C14" s="16"/>
      <c r="D14" s="8">
        <f>+D5/D11</f>
        <v>38.878988095238093</v>
      </c>
      <c r="E14" s="57"/>
      <c r="F14" s="8"/>
      <c r="G14" s="8">
        <f>+G5/G11</f>
        <v>48.363809523809529</v>
      </c>
      <c r="H14" s="57"/>
      <c r="I14" s="8"/>
      <c r="J14" s="77">
        <f t="shared" si="0"/>
        <v>1.2439575177557962</v>
      </c>
      <c r="K14" s="78">
        <f t="shared" si="1"/>
        <v>9.4848214285714363</v>
      </c>
      <c r="L14" s="57"/>
      <c r="M14" s="57"/>
    </row>
    <row r="15" spans="2:21">
      <c r="B15" s="10" t="s">
        <v>33</v>
      </c>
      <c r="C15" s="16"/>
      <c r="D15" s="8">
        <f>+D12/D11</f>
        <v>29.756737210970236</v>
      </c>
      <c r="E15" s="57"/>
      <c r="F15" s="8"/>
      <c r="G15" s="8">
        <f>+G12/G11</f>
        <v>34.758336964285711</v>
      </c>
      <c r="H15" s="57"/>
      <c r="I15" s="8"/>
      <c r="J15" s="77">
        <f t="shared" si="0"/>
        <v>1.168082935903052</v>
      </c>
      <c r="K15" s="78">
        <f t="shared" si="1"/>
        <v>5.0015997533154746</v>
      </c>
      <c r="L15" s="57"/>
      <c r="M15" s="57"/>
    </row>
    <row r="16" spans="2:21">
      <c r="B16" s="18" t="s">
        <v>20</v>
      </c>
      <c r="C16" s="16"/>
      <c r="D16" s="33">
        <f>+D12/D7</f>
        <v>0.82991469834935239</v>
      </c>
      <c r="E16" s="57"/>
      <c r="F16" s="33"/>
      <c r="G16" s="33">
        <f>+G12/G7</f>
        <v>0.76926957441296195</v>
      </c>
      <c r="H16" s="57"/>
      <c r="I16" s="33"/>
      <c r="J16" s="77">
        <f t="shared" si="0"/>
        <v>0.92692607558703355</v>
      </c>
      <c r="K16" s="54">
        <f t="shared" si="1"/>
        <v>-6.0645123936390433E-2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+'2014'!AP18</f>
        <v>57849.751999999993</v>
      </c>
      <c r="E18" s="58">
        <f>+'2014'!AQ18</f>
        <v>57849.751999999993</v>
      </c>
      <c r="F18" s="67">
        <f>+D18/F4</f>
        <v>5784.9751999999989</v>
      </c>
      <c r="G18" s="14">
        <f>+'2015'!AP18</f>
        <v>68091</v>
      </c>
      <c r="H18" s="67">
        <f>+'2015'!AQ18</f>
        <v>68091</v>
      </c>
      <c r="I18" s="67">
        <f>+G18/I4</f>
        <v>6809.1</v>
      </c>
      <c r="J18" s="79">
        <f t="shared" si="0"/>
        <v>1.1770318393067616</v>
      </c>
      <c r="K18" s="80">
        <f t="shared" ref="K18:K24" si="2">+G18-D18</f>
        <v>10241.248000000007</v>
      </c>
      <c r="L18" s="80">
        <f>+I18-F18</f>
        <v>1024.1248000000014</v>
      </c>
      <c r="M18" s="57"/>
    </row>
    <row r="19" spans="2:13">
      <c r="B19" s="17" t="s">
        <v>16</v>
      </c>
      <c r="C19" s="16"/>
      <c r="D19" s="11">
        <f>+'2014'!AP19</f>
        <v>5221.2047000000002</v>
      </c>
      <c r="E19" s="59">
        <f>+'2014'!AQ19</f>
        <v>5221.2047000000002</v>
      </c>
      <c r="F19" s="67">
        <f>+D19/F4</f>
        <v>522.12047000000007</v>
      </c>
      <c r="G19" s="14">
        <f>+'2015'!AP19</f>
        <v>6257.91</v>
      </c>
      <c r="H19" s="67">
        <f>+'2015'!AQ19</f>
        <v>6257.91</v>
      </c>
      <c r="I19" s="67">
        <f>+G19/I4</f>
        <v>625.79099999999994</v>
      </c>
      <c r="J19" s="79">
        <f t="shared" si="0"/>
        <v>1.1985567238917103</v>
      </c>
      <c r="K19" s="80">
        <f t="shared" si="2"/>
        <v>1036.7052999999996</v>
      </c>
      <c r="L19" s="80">
        <f>+I19-F19</f>
        <v>103.67052999999987</v>
      </c>
      <c r="M19" s="57"/>
    </row>
    <row r="20" spans="2:13">
      <c r="B20" s="17" t="s">
        <v>27</v>
      </c>
      <c r="C20" s="16"/>
      <c r="D20" s="11">
        <f>+'2014'!AP20</f>
        <v>191.21101019999998</v>
      </c>
      <c r="E20" s="59">
        <f>+'2014'!AQ20</f>
        <v>191.95092646000001</v>
      </c>
      <c r="F20" s="67">
        <f>+D20/F4</f>
        <v>19.121101019999998</v>
      </c>
      <c r="G20" s="14">
        <f>+'2015'!AP20</f>
        <v>191.26059999999998</v>
      </c>
      <c r="H20" s="67">
        <f>+'2015'!AQ20</f>
        <v>191.26058</v>
      </c>
      <c r="I20" s="67">
        <f>+G20/I4</f>
        <v>19.126059999999999</v>
      </c>
      <c r="J20" s="79">
        <f t="shared" si="0"/>
        <v>1.0002593459442954</v>
      </c>
      <c r="K20" s="80">
        <f t="shared" si="2"/>
        <v>4.958980000000679E-2</v>
      </c>
      <c r="L20" s="80">
        <f>+I20-F20</f>
        <v>4.9589800000013895E-3</v>
      </c>
      <c r="M20" s="57"/>
    </row>
    <row r="21" spans="2:13">
      <c r="B21" s="18" t="s">
        <v>18</v>
      </c>
      <c r="C21" s="16"/>
      <c r="D21" s="44">
        <f>+D20/D19*1000</f>
        <v>36.622009897447604</v>
      </c>
      <c r="E21" s="60">
        <f>+E20/E19*1000</f>
        <v>36.763723601949565</v>
      </c>
      <c r="F21" s="60"/>
      <c r="G21" s="44">
        <f>+G20/G19*1000</f>
        <v>30.563015447649452</v>
      </c>
      <c r="H21" s="75">
        <f>+H20/H19*1000</f>
        <v>30.563012251694257</v>
      </c>
      <c r="I21" s="75"/>
      <c r="J21" s="77">
        <f t="shared" si="0"/>
        <v>0.83455319719575416</v>
      </c>
      <c r="K21" s="78">
        <f t="shared" si="2"/>
        <v>-6.0589944497981527</v>
      </c>
      <c r="L21" s="83">
        <f>+H21/E21</f>
        <v>0.83133614490762608</v>
      </c>
      <c r="M21" s="84">
        <f>+H21-E21</f>
        <v>-6.2007113502553075</v>
      </c>
    </row>
    <row r="22" spans="2:13">
      <c r="B22" s="18" t="s">
        <v>21</v>
      </c>
      <c r="C22" s="16"/>
      <c r="D22" s="46">
        <f>+D19/D18</f>
        <v>9.0254573606469407E-2</v>
      </c>
      <c r="E22" s="46">
        <f>+E19/E18</f>
        <v>9.0254573606469407E-2</v>
      </c>
      <c r="F22" s="61"/>
      <c r="G22" s="53">
        <f>+G19/G18</f>
        <v>9.1905097589989868E-2</v>
      </c>
      <c r="H22" s="46">
        <f>+H19/H18</f>
        <v>9.1905097589989868E-2</v>
      </c>
      <c r="I22" s="76"/>
      <c r="J22" s="77">
        <f t="shared" si="0"/>
        <v>1.0182874276346052</v>
      </c>
      <c r="K22" s="78">
        <f t="shared" si="2"/>
        <v>1.6505239835204605E-3</v>
      </c>
      <c r="L22" s="57"/>
      <c r="M22" s="57"/>
    </row>
    <row r="23" spans="2:13">
      <c r="B23" s="10" t="s">
        <v>28</v>
      </c>
      <c r="C23" s="10"/>
      <c r="D23" s="48">
        <f>+D20*1000/(D18*D21)*100</f>
        <v>9.0254573606469428</v>
      </c>
      <c r="E23" s="48">
        <f>+E20*1000/(E18*E21)*100</f>
        <v>9.025457360646941</v>
      </c>
      <c r="F23" s="62"/>
      <c r="G23" s="48">
        <f>+G20/(G18*G21)*1000*100</f>
        <v>9.1905097589989868</v>
      </c>
      <c r="H23" s="48">
        <f>+H20*1000/(H18*H21)*100</f>
        <v>9.1905097589989886</v>
      </c>
      <c r="I23" s="62"/>
      <c r="J23" s="77">
        <f t="shared" si="0"/>
        <v>1.018287427634605</v>
      </c>
      <c r="K23" s="78">
        <f t="shared" si="2"/>
        <v>0.16505239835204399</v>
      </c>
      <c r="L23" s="57"/>
      <c r="M23" s="57"/>
    </row>
    <row r="24" spans="2:13">
      <c r="B24" s="18" t="s">
        <v>38</v>
      </c>
      <c r="C24" s="10"/>
      <c r="D24" s="48">
        <f>+D20/D18*1000</f>
        <v>3.3053038879060361</v>
      </c>
      <c r="E24" s="48">
        <f>+E20/E18*1000</f>
        <v>3.3180941978800536</v>
      </c>
      <c r="F24" s="62"/>
      <c r="G24" s="48">
        <f>+G20/G18*1000</f>
        <v>2.8088969173605909</v>
      </c>
      <c r="H24" s="48">
        <f>+H20/H18*1000</f>
        <v>2.8088966236360164</v>
      </c>
      <c r="I24" s="62"/>
      <c r="J24" s="77">
        <f t="shared" si="0"/>
        <v>0.84981502839669998</v>
      </c>
      <c r="K24" s="78">
        <f t="shared" si="2"/>
        <v>-0.49640697054544525</v>
      </c>
      <c r="L24" s="57"/>
      <c r="M24" s="57"/>
    </row>
    <row r="25" spans="2:13" ht="7.5" customHeight="1">
      <c r="B25" s="16"/>
      <c r="E25" s="63"/>
      <c r="F25" s="63"/>
      <c r="G25" s="12"/>
      <c r="H25" s="63"/>
      <c r="I25" s="63"/>
      <c r="J25" s="82"/>
      <c r="K25" s="57"/>
      <c r="L25" s="63"/>
      <c r="M25" s="63"/>
    </row>
    <row r="26" spans="2:13">
      <c r="B26" s="20" t="s">
        <v>35</v>
      </c>
      <c r="C26" s="19"/>
      <c r="D26" s="21">
        <f>+D8/(1-D6/D5)</f>
        <v>6578.7139100616914</v>
      </c>
      <c r="E26" s="63"/>
      <c r="F26" s="63"/>
      <c r="G26" s="21">
        <f>+G8/(1-G6/G5)</f>
        <v>8014.9323707196663</v>
      </c>
      <c r="H26" s="63"/>
      <c r="I26" s="63"/>
      <c r="J26" s="37">
        <f>+G26/D26</f>
        <v>1.2183129530015551</v>
      </c>
      <c r="K26" s="21">
        <f>+G26-D26</f>
        <v>1436.2184606579749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8" right="0.1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42</v>
      </c>
      <c r="E3" s="23" t="s">
        <v>24</v>
      </c>
      <c r="F3" s="3" t="s">
        <v>37</v>
      </c>
      <c r="G3" s="4" t="s">
        <v>49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+'2014'!U4</f>
        <v>10</v>
      </c>
      <c r="G4" s="22" t="s">
        <v>25</v>
      </c>
      <c r="H4" s="3" t="s">
        <v>26</v>
      </c>
      <c r="I4" s="3">
        <f>+'2015'!F4</f>
        <v>10</v>
      </c>
      <c r="J4" s="25"/>
    </row>
    <row r="5" spans="2:21">
      <c r="B5" s="10" t="s">
        <v>3</v>
      </c>
      <c r="C5" s="16"/>
      <c r="D5" s="8">
        <f>+'2014'!S5</f>
        <v>1345.21</v>
      </c>
      <c r="E5" s="54">
        <f>+D5/$D$5</f>
        <v>1</v>
      </c>
      <c r="F5" s="85">
        <f>+D5/F4</f>
        <v>134.52100000000002</v>
      </c>
      <c r="G5" s="13">
        <f>+'2015'!S5</f>
        <v>1373.633</v>
      </c>
      <c r="H5" s="54">
        <f>+G5/$G$5</f>
        <v>1</v>
      </c>
      <c r="I5" s="85">
        <f>+G5/I4</f>
        <v>137.36330000000001</v>
      </c>
      <c r="J5" s="77">
        <f t="shared" ref="J5:J24" si="0">+G5/D5</f>
        <v>1.0211290430490407</v>
      </c>
      <c r="K5" s="78">
        <f>+G5-D5</f>
        <v>28.423000000000002</v>
      </c>
      <c r="L5" s="78">
        <f>+I5-F5</f>
        <v>2.8422999999999945</v>
      </c>
      <c r="M5" s="57"/>
    </row>
    <row r="6" spans="2:21">
      <c r="B6" s="7" t="s">
        <v>4</v>
      </c>
      <c r="C6" s="16"/>
      <c r="D6" s="11">
        <f>+'2014'!S6</f>
        <v>72.971140000000005</v>
      </c>
      <c r="E6" s="55">
        <f>+D6/$D$5</f>
        <v>5.4245166182231776E-2</v>
      </c>
      <c r="F6" s="67">
        <f>+D6/F4</f>
        <v>7.2971140000000005</v>
      </c>
      <c r="G6" s="14">
        <f>+'2015'!S6</f>
        <v>69.891989999999993</v>
      </c>
      <c r="H6" s="55">
        <f>+G6/$G$5</f>
        <v>5.0881123269461342E-2</v>
      </c>
      <c r="I6" s="67">
        <f>+G6/I4</f>
        <v>6.9891989999999993</v>
      </c>
      <c r="J6" s="79">
        <f t="shared" si="0"/>
        <v>0.95780318081915661</v>
      </c>
      <c r="K6" s="80">
        <f>+G6-D6</f>
        <v>-3.0791500000000127</v>
      </c>
      <c r="L6" s="80">
        <f>+I6-F6</f>
        <v>-0.30791500000000127</v>
      </c>
      <c r="M6" s="57"/>
    </row>
    <row r="7" spans="2:21">
      <c r="B7" s="10" t="s">
        <v>7</v>
      </c>
      <c r="C7" s="16"/>
      <c r="D7" s="9">
        <f>+'2014'!S7</f>
        <v>1272.2388599999999</v>
      </c>
      <c r="E7" s="56">
        <f>+D7/$D$5</f>
        <v>0.94575483381776815</v>
      </c>
      <c r="F7" s="87">
        <f>+F5-F6</f>
        <v>127.22388600000002</v>
      </c>
      <c r="G7" s="8">
        <f>+'2015'!S7</f>
        <v>1303.74101</v>
      </c>
      <c r="H7" s="56">
        <f>+G7/$G$5</f>
        <v>0.94911887673053863</v>
      </c>
      <c r="I7" s="87">
        <f>+I5-I6</f>
        <v>130.374101</v>
      </c>
      <c r="J7" s="81">
        <f t="shared" si="0"/>
        <v>1.0247611914636847</v>
      </c>
      <c r="K7" s="78">
        <f>+G7-D7</f>
        <v>31.502150000000029</v>
      </c>
      <c r="L7" s="78">
        <f>+I7-F7</f>
        <v>3.1502149999999745</v>
      </c>
      <c r="M7" s="57"/>
    </row>
    <row r="8" spans="2:21">
      <c r="B8" s="7" t="s">
        <v>5</v>
      </c>
      <c r="C8" s="16"/>
      <c r="D8" s="11">
        <f>+'2014'!S8</f>
        <v>1091.72462</v>
      </c>
      <c r="E8" s="55">
        <f>+D8/$D$5</f>
        <v>0.81156445462046811</v>
      </c>
      <c r="F8" s="67">
        <f>+D8/F4</f>
        <v>109.172462</v>
      </c>
      <c r="G8" s="14">
        <f>+'2015'!S8</f>
        <v>1434.491</v>
      </c>
      <c r="H8" s="55">
        <f>+G8/$G$5</f>
        <v>1.0443044102755248</v>
      </c>
      <c r="I8" s="67">
        <f>+G8/I4</f>
        <v>143.44909999999999</v>
      </c>
      <c r="J8" s="79">
        <f t="shared" si="0"/>
        <v>1.3139678026130803</v>
      </c>
      <c r="K8" s="80">
        <f>+G8-D8</f>
        <v>342.76638000000003</v>
      </c>
      <c r="L8" s="80">
        <f>+I8-F8</f>
        <v>34.276637999999991</v>
      </c>
      <c r="M8" s="57"/>
    </row>
    <row r="9" spans="2:21">
      <c r="B9" s="18" t="s">
        <v>13</v>
      </c>
      <c r="C9" s="16"/>
      <c r="D9" s="15">
        <f>+D5-D6-D8</f>
        <v>180.51423999999997</v>
      </c>
      <c r="E9" s="54">
        <f>+D9/$D$5</f>
        <v>0.13419037919730004</v>
      </c>
      <c r="F9" s="15">
        <f>+F5-F6-F8</f>
        <v>18.051424000000026</v>
      </c>
      <c r="G9" s="15">
        <f>+G5-G6-G8</f>
        <v>-130.74999000000003</v>
      </c>
      <c r="H9" s="54">
        <f>+G9/$G$5</f>
        <v>-9.5185533544986198E-2</v>
      </c>
      <c r="I9" s="15">
        <f>+I5-I6-I8</f>
        <v>-13.074998999999991</v>
      </c>
      <c r="J9" s="81">
        <f t="shared" si="0"/>
        <v>-0.72431953290776419</v>
      </c>
      <c r="K9" s="78">
        <f>+G9-D9</f>
        <v>-311.26423</v>
      </c>
      <c r="L9" s="78">
        <f>+I9-F9</f>
        <v>-31.126423000000017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+'2014'!S11</f>
        <v>28</v>
      </c>
      <c r="E11" s="57"/>
      <c r="F11" s="67">
        <f>+D11/F4</f>
        <v>2.8</v>
      </c>
      <c r="G11" s="28">
        <f>+'2015'!S11</f>
        <v>28</v>
      </c>
      <c r="H11" s="57"/>
      <c r="I11" s="67">
        <f>+G11/I4</f>
        <v>2.8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+'2014'!S12</f>
        <v>911.15899999999999</v>
      </c>
      <c r="E12" s="57"/>
      <c r="F12" s="67">
        <f>+D12/F4</f>
        <v>91.115899999999996</v>
      </c>
      <c r="G12" s="14">
        <f>+'2015'!S12</f>
        <v>1125.2011199999999</v>
      </c>
      <c r="H12" s="57"/>
      <c r="I12" s="67">
        <f>+G12/I4</f>
        <v>112.520112</v>
      </c>
      <c r="J12" s="79">
        <f t="shared" si="0"/>
        <v>1.2349119308485126</v>
      </c>
      <c r="K12" s="80">
        <f t="shared" si="1"/>
        <v>214.04211999999995</v>
      </c>
      <c r="L12" s="80">
        <f>+I12-F12</f>
        <v>21.404212000000001</v>
      </c>
      <c r="M12" s="57"/>
    </row>
    <row r="13" spans="2:21">
      <c r="B13" s="18" t="s">
        <v>19</v>
      </c>
      <c r="C13" s="16"/>
      <c r="D13" s="33">
        <f>+D12/D5</f>
        <v>0.67733588064317096</v>
      </c>
      <c r="E13" s="57"/>
      <c r="F13" s="33"/>
      <c r="G13" s="33">
        <f>+G12/G5</f>
        <v>0.81914246381675448</v>
      </c>
      <c r="H13" s="57"/>
      <c r="I13" s="33"/>
      <c r="J13" s="77">
        <f t="shared" si="0"/>
        <v>1.2093593255962312</v>
      </c>
      <c r="K13" s="54">
        <f t="shared" si="1"/>
        <v>0.14180658317358352</v>
      </c>
      <c r="L13" s="57"/>
      <c r="M13" s="57"/>
    </row>
    <row r="14" spans="2:21">
      <c r="B14" s="18" t="s">
        <v>15</v>
      </c>
      <c r="C14" s="16"/>
      <c r="D14" s="8">
        <f>+D5/D11</f>
        <v>48.043214285714285</v>
      </c>
      <c r="E14" s="57"/>
      <c r="F14" s="8"/>
      <c r="G14" s="8">
        <f>+G5/G11</f>
        <v>49.058321428571432</v>
      </c>
      <c r="H14" s="57"/>
      <c r="I14" s="8"/>
      <c r="J14" s="77">
        <f t="shared" si="0"/>
        <v>1.0211290430490407</v>
      </c>
      <c r="K14" s="78">
        <f t="shared" si="1"/>
        <v>1.015107142857147</v>
      </c>
      <c r="L14" s="57"/>
      <c r="M14" s="57"/>
    </row>
    <row r="15" spans="2:21">
      <c r="B15" s="10" t="s">
        <v>33</v>
      </c>
      <c r="C15" s="16"/>
      <c r="D15" s="8">
        <f>+D12/D11</f>
        <v>32.54139285714286</v>
      </c>
      <c r="E15" s="57"/>
      <c r="F15" s="8"/>
      <c r="G15" s="8">
        <f>+G12/G11</f>
        <v>40.185754285714282</v>
      </c>
      <c r="H15" s="57"/>
      <c r="I15" s="8"/>
      <c r="J15" s="77">
        <f t="shared" si="0"/>
        <v>1.2349119308485126</v>
      </c>
      <c r="K15" s="78">
        <f t="shared" si="1"/>
        <v>7.6443614285714219</v>
      </c>
      <c r="L15" s="57"/>
      <c r="M15" s="57"/>
    </row>
    <row r="16" spans="2:21">
      <c r="B16" s="18" t="s">
        <v>20</v>
      </c>
      <c r="C16" s="16"/>
      <c r="D16" s="33">
        <f>+D12/D7</f>
        <v>0.71618548108175228</v>
      </c>
      <c r="E16" s="57"/>
      <c r="F16" s="33"/>
      <c r="G16" s="33">
        <f>+G12/G7</f>
        <v>0.86305570766696982</v>
      </c>
      <c r="H16" s="57"/>
      <c r="I16" s="33"/>
      <c r="J16" s="77">
        <f t="shared" si="0"/>
        <v>1.2050728902844825</v>
      </c>
      <c r="K16" s="54">
        <f t="shared" si="1"/>
        <v>0.14687022658521753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+'2014'!S18</f>
        <v>9157.7279999999992</v>
      </c>
      <c r="E18" s="58">
        <f>+'2014'!T18</f>
        <v>9157.7279999999992</v>
      </c>
      <c r="F18" s="67">
        <f>+D18/F4</f>
        <v>915.77279999999996</v>
      </c>
      <c r="G18" s="14">
        <f>+'2015'!S18</f>
        <v>10883</v>
      </c>
      <c r="H18" s="67">
        <f>+'2015'!T18</f>
        <v>10883</v>
      </c>
      <c r="I18" s="67">
        <f>+G18/I4</f>
        <v>1088.3</v>
      </c>
      <c r="J18" s="79">
        <f t="shared" si="0"/>
        <v>1.1883952002068636</v>
      </c>
      <c r="K18" s="80">
        <f t="shared" ref="K18:K24" si="2">+G18-D18</f>
        <v>1725.2720000000008</v>
      </c>
      <c r="L18" s="80">
        <f>+I18-F18</f>
        <v>172.52719999999999</v>
      </c>
      <c r="M18" s="57"/>
    </row>
    <row r="19" spans="2:13">
      <c r="B19" s="17" t="s">
        <v>16</v>
      </c>
      <c r="C19" s="16"/>
      <c r="D19" s="11">
        <f>+'2014'!S19</f>
        <v>848.54309999999998</v>
      </c>
      <c r="E19" s="58">
        <f>+'2014'!T19</f>
        <v>848.54309999999998</v>
      </c>
      <c r="F19" s="67">
        <f>+D19/F4</f>
        <v>84.854309999999998</v>
      </c>
      <c r="G19" s="14">
        <f>+'2015'!S19</f>
        <v>1084.23</v>
      </c>
      <c r="H19" s="67">
        <f>+'2015'!T19</f>
        <v>1084.23</v>
      </c>
      <c r="I19" s="67">
        <f>+G19/I4</f>
        <v>108.423</v>
      </c>
      <c r="J19" s="79">
        <f t="shared" si="0"/>
        <v>1.2777547775711098</v>
      </c>
      <c r="K19" s="80">
        <f t="shared" si="2"/>
        <v>235.68690000000004</v>
      </c>
      <c r="L19" s="80">
        <f>+I19-F19</f>
        <v>23.568690000000004</v>
      </c>
      <c r="M19" s="57"/>
    </row>
    <row r="20" spans="2:13">
      <c r="B20" s="17" t="s">
        <v>27</v>
      </c>
      <c r="C20" s="16"/>
      <c r="D20" s="11">
        <f>+'2014'!S20</f>
        <v>31.348628999999999</v>
      </c>
      <c r="E20" s="58">
        <f>+'2014'!T20</f>
        <v>31.34862</v>
      </c>
      <c r="F20" s="67">
        <f>+D20/F4</f>
        <v>3.1348628999999999</v>
      </c>
      <c r="G20" s="14">
        <f>+'2015'!S20</f>
        <v>33.999899999999997</v>
      </c>
      <c r="H20" s="67">
        <f>+'2015'!T20</f>
        <v>33.999879999999997</v>
      </c>
      <c r="I20" s="67">
        <f>+G20/I4</f>
        <v>3.3999899999999998</v>
      </c>
      <c r="J20" s="79">
        <f t="shared" si="0"/>
        <v>1.0845737464308247</v>
      </c>
      <c r="K20" s="80">
        <f t="shared" si="2"/>
        <v>2.6512709999999977</v>
      </c>
      <c r="L20" s="80">
        <f>+I20-F20</f>
        <v>0.26512709999999995</v>
      </c>
      <c r="M20" s="57"/>
    </row>
    <row r="21" spans="2:13">
      <c r="B21" s="18" t="s">
        <v>18</v>
      </c>
      <c r="C21" s="16"/>
      <c r="D21" s="44">
        <f>+D20/D19*1000</f>
        <v>36.944062122477924</v>
      </c>
      <c r="E21" s="60">
        <f>+E20/E19*1000</f>
        <v>36.94405151606324</v>
      </c>
      <c r="F21" s="60"/>
      <c r="G21" s="44">
        <f>+G20/G19*1000</f>
        <v>31.358567831548655</v>
      </c>
      <c r="H21" s="75">
        <f>+H20/H19*1000</f>
        <v>31.358549385278032</v>
      </c>
      <c r="I21" s="60"/>
      <c r="J21" s="77">
        <f t="shared" si="0"/>
        <v>0.84881212378833459</v>
      </c>
      <c r="K21" s="78">
        <f t="shared" si="2"/>
        <v>-5.5854942909292689</v>
      </c>
      <c r="L21" s="83">
        <f>+H21/E21</f>
        <v>0.84881186817432197</v>
      </c>
      <c r="M21" s="84">
        <f>+H21-E21</f>
        <v>-5.5855021307852084</v>
      </c>
    </row>
    <row r="22" spans="2:13">
      <c r="B22" s="18" t="s">
        <v>21</v>
      </c>
      <c r="C22" s="16"/>
      <c r="D22" s="46">
        <f>+D19/D18</f>
        <v>9.2658692199637294E-2</v>
      </c>
      <c r="E22" s="46">
        <f>+E19/E18</f>
        <v>9.2658692199637294E-2</v>
      </c>
      <c r="F22" s="61"/>
      <c r="G22" s="53">
        <f>+G19/G18</f>
        <v>9.9626022236515663E-2</v>
      </c>
      <c r="H22" s="46">
        <f>+H19/H18</f>
        <v>9.9626022236515663E-2</v>
      </c>
      <c r="I22" s="61"/>
      <c r="J22" s="77">
        <f t="shared" si="0"/>
        <v>1.075193485591907</v>
      </c>
      <c r="K22" s="78">
        <f t="shared" si="2"/>
        <v>6.9673300368783692E-3</v>
      </c>
      <c r="L22" s="57"/>
      <c r="M22" s="57"/>
    </row>
    <row r="23" spans="2:13">
      <c r="B23" s="10" t="s">
        <v>28</v>
      </c>
      <c r="C23" s="10"/>
      <c r="D23" s="48">
        <f>+D20*1000/(D18*D21)*100</f>
        <v>9.2658692199637311</v>
      </c>
      <c r="E23" s="48">
        <f>+E20*1000/(E18*E21)*100</f>
        <v>9.2658692199637294</v>
      </c>
      <c r="F23" s="62"/>
      <c r="G23" s="48">
        <f>+G20/(G18*G21)*1000*100</f>
        <v>9.962602223651567</v>
      </c>
      <c r="H23" s="48">
        <f>+H20*1000/(H18*H21)*100</f>
        <v>9.9626022236515652</v>
      </c>
      <c r="I23" s="62"/>
      <c r="J23" s="77">
        <f t="shared" si="0"/>
        <v>1.0751934855919068</v>
      </c>
      <c r="K23" s="78">
        <f t="shared" si="2"/>
        <v>0.69673300368783586</v>
      </c>
      <c r="L23" s="57"/>
      <c r="M23" s="57"/>
    </row>
    <row r="24" spans="2:13">
      <c r="B24" s="18" t="s">
        <v>38</v>
      </c>
      <c r="C24" s="10"/>
      <c r="D24" s="48">
        <f>+D20/D18*1000</f>
        <v>3.4231884808109609</v>
      </c>
      <c r="E24" s="48">
        <f>+E20/E18*1000</f>
        <v>3.4231874980344474</v>
      </c>
      <c r="F24" s="62"/>
      <c r="G24" s="48">
        <f>+G20/G18*1000</f>
        <v>3.124129376091151</v>
      </c>
      <c r="H24" s="48">
        <f>+H20/H18*1000</f>
        <v>3.1241275383625835</v>
      </c>
      <c r="I24" s="62"/>
      <c r="J24" s="77">
        <f t="shared" si="0"/>
        <v>0.91263726598864869</v>
      </c>
      <c r="K24" s="78">
        <f t="shared" si="2"/>
        <v>-0.2990591047198099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57"/>
      <c r="J25" s="82"/>
      <c r="K25" s="57"/>
      <c r="L25" s="57"/>
      <c r="M25" s="57"/>
    </row>
    <row r="26" spans="2:13">
      <c r="B26" s="20" t="s">
        <v>35</v>
      </c>
      <c r="C26" s="40"/>
      <c r="D26" s="21">
        <f>+D8/(1-D6/D5)</f>
        <v>1154.342098990908</v>
      </c>
      <c r="E26" s="57"/>
      <c r="F26" s="57"/>
      <c r="G26" s="21">
        <f>+G8/(1-G6/G5)</f>
        <v>1511.3923399579185</v>
      </c>
      <c r="H26" s="57"/>
      <c r="I26" s="57"/>
      <c r="J26" s="37">
        <f>+G26/D26</f>
        <v>1.3093105945621608</v>
      </c>
      <c r="K26" s="21">
        <f>+G26-D26</f>
        <v>357.0502409670105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23622047244094491" right="0.23622047244094491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T20" sqref="T20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55</v>
      </c>
      <c r="E3" s="23" t="s">
        <v>24</v>
      </c>
      <c r="F3" s="3" t="s">
        <v>37</v>
      </c>
      <c r="G3" s="90" t="s">
        <v>56</v>
      </c>
      <c r="H3" s="23" t="s">
        <v>24</v>
      </c>
      <c r="I3" s="3" t="s">
        <v>37</v>
      </c>
      <c r="J3" s="90" t="s">
        <v>57</v>
      </c>
      <c r="K3" s="23" t="s">
        <v>24</v>
      </c>
      <c r="L3" s="3" t="s">
        <v>37</v>
      </c>
      <c r="M3" s="90" t="s">
        <v>58</v>
      </c>
      <c r="N3" s="23" t="s">
        <v>24</v>
      </c>
      <c r="O3" s="3" t="s">
        <v>37</v>
      </c>
      <c r="P3" s="90" t="s">
        <v>59</v>
      </c>
      <c r="Q3" s="23" t="s">
        <v>24</v>
      </c>
      <c r="R3" s="3" t="s">
        <v>37</v>
      </c>
      <c r="S3" s="90" t="s">
        <v>42</v>
      </c>
      <c r="T3" s="23" t="s">
        <v>24</v>
      </c>
      <c r="U3" s="3" t="s">
        <v>37</v>
      </c>
      <c r="V3" s="90" t="s">
        <v>41</v>
      </c>
      <c r="W3" s="73" t="s">
        <v>24</v>
      </c>
      <c r="X3" s="3" t="s">
        <v>37</v>
      </c>
      <c r="Y3" s="90" t="s">
        <v>40</v>
      </c>
      <c r="Z3" s="73" t="s">
        <v>24</v>
      </c>
      <c r="AA3" s="3" t="s">
        <v>37</v>
      </c>
      <c r="AB3" s="4" t="s">
        <v>6</v>
      </c>
      <c r="AC3" s="73" t="s">
        <v>24</v>
      </c>
      <c r="AD3" s="3" t="s">
        <v>37</v>
      </c>
      <c r="AE3" s="4" t="s">
        <v>8</v>
      </c>
      <c r="AF3" s="73" t="s">
        <v>24</v>
      </c>
      <c r="AG3" s="3" t="s">
        <v>37</v>
      </c>
      <c r="AH3" s="4" t="s">
        <v>9</v>
      </c>
      <c r="AI3" s="73" t="s">
        <v>24</v>
      </c>
      <c r="AJ3" s="3" t="s">
        <v>37</v>
      </c>
      <c r="AK3" s="4" t="s">
        <v>10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10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6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1028.115</v>
      </c>
      <c r="E5" s="54">
        <f>+D5/D5</f>
        <v>1</v>
      </c>
      <c r="F5" s="85">
        <f>+D5/F4</f>
        <v>102.8115</v>
      </c>
      <c r="G5" s="9">
        <v>980.32500000000005</v>
      </c>
      <c r="H5" s="54">
        <f>+G5/G5</f>
        <v>1</v>
      </c>
      <c r="I5" s="85">
        <f>+G5/I4</f>
        <v>98.032499999999999</v>
      </c>
      <c r="J5" s="9">
        <v>1055.19</v>
      </c>
      <c r="K5" s="54">
        <f>+J5/J5</f>
        <v>1</v>
      </c>
      <c r="L5" s="85">
        <f>+J5/L4</f>
        <v>105.51900000000001</v>
      </c>
      <c r="M5" s="9">
        <v>1039.575</v>
      </c>
      <c r="N5" s="54">
        <f>+M5/M5</f>
        <v>1</v>
      </c>
      <c r="O5" s="85">
        <f>+M5/O4</f>
        <v>103.95750000000001</v>
      </c>
      <c r="P5" s="9">
        <f>1083.255</f>
        <v>1083.2550000000001</v>
      </c>
      <c r="Q5" s="54">
        <f>+P5/P5</f>
        <v>1</v>
      </c>
      <c r="R5" s="85">
        <f>+P5/R4</f>
        <v>108.32550000000001</v>
      </c>
      <c r="S5" s="9">
        <f>760.694+1345.21-760.694</f>
        <v>1345.21</v>
      </c>
      <c r="T5" s="54">
        <f>+S5/S5</f>
        <v>1</v>
      </c>
      <c r="U5" s="85">
        <f>+S5/U4</f>
        <v>134.52100000000002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6531.6699999999992</v>
      </c>
      <c r="AQ5" s="64">
        <f>+AP5/$AP$5</f>
        <v>1</v>
      </c>
      <c r="AR5" s="85">
        <f>+AP5/AR4</f>
        <v>653.16699999999992</v>
      </c>
      <c r="AS5" s="30">
        <f>+AP5/$AS$4</f>
        <v>1088.6116666666665</v>
      </c>
      <c r="AT5" s="57"/>
      <c r="AU5" s="85">
        <f>+AS5/AU4</f>
        <v>108.86116666666665</v>
      </c>
    </row>
    <row r="6" spans="2:47">
      <c r="B6" s="7" t="s">
        <v>4</v>
      </c>
      <c r="C6" s="16"/>
      <c r="D6" s="11">
        <v>95.856660000000005</v>
      </c>
      <c r="E6" s="55">
        <f>+D6/D5</f>
        <v>9.3235348185757433E-2</v>
      </c>
      <c r="F6" s="86">
        <f>+D6/F4</f>
        <v>9.5856659999999998</v>
      </c>
      <c r="G6" s="11">
        <f>(6.2126+157.969+13.406+183.831)*0.252836</f>
        <v>91.379633149599997</v>
      </c>
      <c r="H6" s="55">
        <f>+G6/G5</f>
        <v>9.3213610944941724E-2</v>
      </c>
      <c r="I6" s="86">
        <f>+G6/I4</f>
        <v>9.1379633149600004</v>
      </c>
      <c r="J6" s="11">
        <f>6.6067+172.17659+20.30943+74.067-204.095109</f>
        <v>69.064610999999985</v>
      </c>
      <c r="K6" s="55">
        <f>+J6/J5</f>
        <v>6.5452298638159934E-2</v>
      </c>
      <c r="L6" s="86">
        <f>+J6/L4</f>
        <v>6.9064610999999987</v>
      </c>
      <c r="M6" s="11">
        <f>5.86766+151.09302-126.7669388+34.037+134.087-125.6167308</f>
        <v>72.701010399999973</v>
      </c>
      <c r="N6" s="55">
        <f>+M6/M5</f>
        <v>6.9933396243657228E-2</v>
      </c>
      <c r="O6" s="86">
        <f>+M6/O4</f>
        <v>7.2701010399999975</v>
      </c>
      <c r="P6" s="11">
        <f>5.9747+167.02972+17.30527+270.4274-139.72442-214.985219</f>
        <v>106.02745099999996</v>
      </c>
      <c r="Q6" s="55">
        <f>+P6/P5</f>
        <v>9.7878570604335954E-2</v>
      </c>
      <c r="R6" s="86">
        <f>+P6/R4</f>
        <v>10.602745099999996</v>
      </c>
      <c r="S6" s="11">
        <v>72.971140000000005</v>
      </c>
      <c r="T6" s="55">
        <f>+S6/S5</f>
        <v>5.4245166182231776E-2</v>
      </c>
      <c r="U6" s="86">
        <f>+S6/U4</f>
        <v>7.2971140000000005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508.00050554959989</v>
      </c>
      <c r="AQ6" s="65">
        <f>+AP6/$AP$5</f>
        <v>7.7774980295942681E-2</v>
      </c>
      <c r="AR6" s="86">
        <f>+AP6/AR4</f>
        <v>50.800050554959988</v>
      </c>
      <c r="AS6" s="14">
        <f t="shared" ref="AS6:AS9" si="0">+AP6/$AS$4</f>
        <v>84.666750924933311</v>
      </c>
      <c r="AT6" s="57"/>
      <c r="AU6" s="86">
        <f>+AS6/AU4</f>
        <v>8.4666750924933307</v>
      </c>
    </row>
    <row r="7" spans="2:47">
      <c r="B7" s="10" t="s">
        <v>7</v>
      </c>
      <c r="C7" s="16"/>
      <c r="D7" s="8">
        <f>+D5-D6</f>
        <v>932.25833999999998</v>
      </c>
      <c r="E7" s="56">
        <f>+D7/D5</f>
        <v>0.90676465181424248</v>
      </c>
      <c r="F7" s="87">
        <f>+F5-F6</f>
        <v>93.225833999999992</v>
      </c>
      <c r="G7" s="8">
        <f>+G5-G6</f>
        <v>888.94536685040009</v>
      </c>
      <c r="H7" s="56">
        <f>+G7/G5</f>
        <v>0.90678638905505837</v>
      </c>
      <c r="I7" s="87">
        <f>+I5-I6</f>
        <v>88.894536685039995</v>
      </c>
      <c r="J7" s="8">
        <f>+J5-J6</f>
        <v>986.12538900000004</v>
      </c>
      <c r="K7" s="56">
        <f>+J7/J5</f>
        <v>0.93454770136184007</v>
      </c>
      <c r="L7" s="87">
        <f>+L5-L6</f>
        <v>98.612538900000004</v>
      </c>
      <c r="M7" s="8">
        <f>+M5-M6</f>
        <v>966.87398960000007</v>
      </c>
      <c r="N7" s="56">
        <f>+M7/M5</f>
        <v>0.93006660375634276</v>
      </c>
      <c r="O7" s="87">
        <f>+O5-O6</f>
        <v>96.68739896000001</v>
      </c>
      <c r="P7" s="8">
        <f>+P5-P6</f>
        <v>977.22754900000018</v>
      </c>
      <c r="Q7" s="56">
        <f>+P7/P5</f>
        <v>0.90212142939566409</v>
      </c>
      <c r="R7" s="87">
        <f>+R5-R6</f>
        <v>97.722754900000012</v>
      </c>
      <c r="S7" s="8">
        <f>+S5-S6</f>
        <v>1272.2388599999999</v>
      </c>
      <c r="T7" s="56">
        <f>+S7/S5</f>
        <v>0.94575483381776815</v>
      </c>
      <c r="U7" s="87">
        <f>+U5-U6</f>
        <v>127.22388600000002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6023.6694944504006</v>
      </c>
      <c r="AQ7" s="65">
        <f>+AP7/$AP$5</f>
        <v>0.92222501970405757</v>
      </c>
      <c r="AR7" s="87">
        <f>+AR5-AR6</f>
        <v>602.36694944503995</v>
      </c>
      <c r="AS7" s="13">
        <f t="shared" si="0"/>
        <v>1003.9449157417334</v>
      </c>
      <c r="AT7" s="57"/>
      <c r="AU7" s="87">
        <f>+AU5-AU6</f>
        <v>100.39449157417332</v>
      </c>
    </row>
    <row r="8" spans="2:47">
      <c r="B8" s="7" t="s">
        <v>5</v>
      </c>
      <c r="C8" s="16"/>
      <c r="D8" s="11">
        <v>920.12062809999998</v>
      </c>
      <c r="E8" s="55">
        <f>+D8/D5</f>
        <v>0.89495885975790646</v>
      </c>
      <c r="F8" s="86">
        <f>+D8/F4</f>
        <v>92.012062810000003</v>
      </c>
      <c r="G8" s="11">
        <f>1350.052*0.675287</f>
        <v>911.67256492399986</v>
      </c>
      <c r="H8" s="55">
        <f>+G8/G5</f>
        <v>0.92996971914824145</v>
      </c>
      <c r="I8" s="86">
        <f>+G8/I4</f>
        <v>91.167256492399986</v>
      </c>
      <c r="J8" s="11">
        <f>1409.854-457.7981362</f>
        <v>952.0558638</v>
      </c>
      <c r="K8" s="55">
        <f>+J8/J5</f>
        <v>0.90226012737042616</v>
      </c>
      <c r="L8" s="86">
        <f>+J8/L4</f>
        <v>95.20558638</v>
      </c>
      <c r="M8" s="11">
        <f>302.68156-98.28463739+1108.29-260.0670742</f>
        <v>1052.61984841</v>
      </c>
      <c r="N8" s="55">
        <f>+M8/M5</f>
        <v>1.0125482513623356</v>
      </c>
      <c r="O8" s="86">
        <f>+M8/O4</f>
        <v>105.261984841</v>
      </c>
      <c r="P8" s="11">
        <f>1425.631-286.7699599</f>
        <v>1138.8610401000001</v>
      </c>
      <c r="Q8" s="55">
        <f>+P8/P5</f>
        <v>1.0513323641247905</v>
      </c>
      <c r="R8" s="86">
        <f>+P8/R4</f>
        <v>113.88610401000001</v>
      </c>
      <c r="S8" s="11">
        <f>180.56475+911.15987</f>
        <v>1091.72462</v>
      </c>
      <c r="T8" s="55">
        <f>+S8/S5</f>
        <v>0.81156445462046811</v>
      </c>
      <c r="U8" s="86">
        <f>+S8/U4</f>
        <v>109.172462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6067.0545653339996</v>
      </c>
      <c r="AQ8" s="65">
        <f>+AP8/$AP$5</f>
        <v>0.92886728284405062</v>
      </c>
      <c r="AR8" s="86">
        <f>+AP8/AR4</f>
        <v>606.70545653339991</v>
      </c>
      <c r="AS8" s="14">
        <f t="shared" si="0"/>
        <v>1011.1757608889999</v>
      </c>
      <c r="AT8" s="57"/>
      <c r="AU8" s="86">
        <f>+AS8/AU4</f>
        <v>101.11757608889999</v>
      </c>
    </row>
    <row r="9" spans="2:47">
      <c r="B9" s="18" t="s">
        <v>13</v>
      </c>
      <c r="C9" s="16"/>
      <c r="D9" s="15">
        <f>+D5-D6-D8</f>
        <v>12.137711899999999</v>
      </c>
      <c r="E9" s="54">
        <f>+D9/D5</f>
        <v>1.180579205633611E-2</v>
      </c>
      <c r="F9" s="15">
        <f>+F5-F6-F8</f>
        <v>1.2137711899999886</v>
      </c>
      <c r="G9" s="15">
        <f>+G5-G6-G8</f>
        <v>-22.727198073599766</v>
      </c>
      <c r="H9" s="54">
        <f>+G9/G5</f>
        <v>-2.3183330093183144E-2</v>
      </c>
      <c r="I9" s="15">
        <f>+I5-I6-I8</f>
        <v>-2.2727198073599908</v>
      </c>
      <c r="J9" s="15">
        <f>+J5-J6-J8</f>
        <v>34.069525200000044</v>
      </c>
      <c r="K9" s="54">
        <f>+J9/J5</f>
        <v>3.2287573991413909E-2</v>
      </c>
      <c r="L9" s="15">
        <f>+L5-L6-L8</f>
        <v>3.4069525200000044</v>
      </c>
      <c r="M9" s="15">
        <f>+M5-M6-M8</f>
        <v>-85.745858809999959</v>
      </c>
      <c r="N9" s="54">
        <f>+M9/M5</f>
        <v>-8.2481647605992789E-2</v>
      </c>
      <c r="O9" s="15">
        <f>+O5-O6-O8</f>
        <v>-8.5745858809999902</v>
      </c>
      <c r="P9" s="15">
        <f>+P5-P6-P8</f>
        <v>-161.6334910999999</v>
      </c>
      <c r="Q9" s="54">
        <f>+P9/P5</f>
        <v>-0.14921093472912647</v>
      </c>
      <c r="R9" s="15">
        <f>+R5-R6-R8</f>
        <v>-16.163349109999999</v>
      </c>
      <c r="S9" s="15">
        <f>+S5-S6-S8</f>
        <v>180.51423999999997</v>
      </c>
      <c r="T9" s="54">
        <f>+S9/S5</f>
        <v>0.13419037919730004</v>
      </c>
      <c r="U9" s="15">
        <f>+U5-U6-U8</f>
        <v>18.051424000000026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-43.38507088359961</v>
      </c>
      <c r="AQ9" s="64">
        <f>+AP9/$AP$5</f>
        <v>-6.6422631399932356E-3</v>
      </c>
      <c r="AR9" s="15">
        <f>+AR5-AR6-AR8</f>
        <v>-4.338507088359961</v>
      </c>
      <c r="AS9" s="29">
        <f t="shared" si="0"/>
        <v>-7.230845147266602</v>
      </c>
      <c r="AT9" s="57"/>
      <c r="AU9" s="15">
        <f>+AU5-AU6-AU8</f>
        <v>-0.72308451472667912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28</v>
      </c>
      <c r="T11" s="57"/>
      <c r="U11" s="86">
        <f>+S11/U4</f>
        <v>2.8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168</v>
      </c>
      <c r="AQ11" s="57"/>
      <c r="AR11" s="86">
        <f>+AP11/AR4</f>
        <v>16.8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790.21401400000002</v>
      </c>
      <c r="E12" s="57"/>
      <c r="F12" s="86">
        <f>+D12/F4</f>
        <v>79.021401400000002</v>
      </c>
      <c r="G12" s="32">
        <f>1071.889*0.675287</f>
        <v>723.83270714299988</v>
      </c>
      <c r="H12" s="57"/>
      <c r="I12" s="86">
        <f>+G12/I4</f>
        <v>72.383270714299982</v>
      </c>
      <c r="J12" s="32">
        <v>865.1</v>
      </c>
      <c r="K12" s="57"/>
      <c r="L12" s="86">
        <f>+J12/L4</f>
        <v>86.51</v>
      </c>
      <c r="M12" s="32">
        <f>1108.29-260.067</f>
        <v>848.22299999999996</v>
      </c>
      <c r="N12" s="57"/>
      <c r="O12" s="86">
        <f>+M12/O4</f>
        <v>84.822299999999998</v>
      </c>
      <c r="P12" s="32">
        <f>1124.466-263.8628697</f>
        <v>860.60313029999998</v>
      </c>
      <c r="Q12" s="57"/>
      <c r="R12" s="86">
        <f>+P12/R4</f>
        <v>86.060313030000003</v>
      </c>
      <c r="S12" s="32">
        <v>911.15899999999999</v>
      </c>
      <c r="T12" s="57"/>
      <c r="U12" s="86">
        <f>+S12/U4</f>
        <v>91.115899999999996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4999.1318514429995</v>
      </c>
      <c r="AQ12" s="57"/>
      <c r="AR12" s="86">
        <f>+AP12/AR4</f>
        <v>499.91318514429997</v>
      </c>
      <c r="AS12" s="14">
        <f t="shared" ref="AS12" si="1">+AP12/$AS$4</f>
        <v>833.18864190716658</v>
      </c>
      <c r="AT12" s="57"/>
      <c r="AU12" s="86">
        <f>+AS12/AU4</f>
        <v>83.318864190716653</v>
      </c>
    </row>
    <row r="13" spans="2:47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0.7383599389416774</v>
      </c>
      <c r="H13" s="57"/>
      <c r="I13" s="33"/>
      <c r="J13" s="33">
        <f>+J12/J5</f>
        <v>0.81985234886608094</v>
      </c>
      <c r="K13" s="57"/>
      <c r="L13" s="33"/>
      <c r="M13" s="33">
        <f>+M12/M5</f>
        <v>0.81593247240458833</v>
      </c>
      <c r="N13" s="57"/>
      <c r="O13" s="33"/>
      <c r="P13" s="33">
        <f>+P12/P5</f>
        <v>0.79446033510115333</v>
      </c>
      <c r="Q13" s="57"/>
      <c r="R13" s="33"/>
      <c r="S13" s="33">
        <f>+S12/S5</f>
        <v>0.67733588064317096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0.76536809903791836</v>
      </c>
      <c r="AQ13" s="57"/>
      <c r="AR13" s="33"/>
      <c r="AS13" s="35">
        <f>+AS12/AS5</f>
        <v>0.76536809903791836</v>
      </c>
      <c r="AT13" s="57"/>
      <c r="AU13" s="33"/>
    </row>
    <row r="14" spans="2:47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35.011607142857144</v>
      </c>
      <c r="H14" s="57"/>
      <c r="I14" s="8"/>
      <c r="J14" s="8">
        <f>+J5/J11</f>
        <v>37.685357142857143</v>
      </c>
      <c r="K14" s="57"/>
      <c r="L14" s="8"/>
      <c r="M14" s="8">
        <f>+M5/M11</f>
        <v>37.127678571428575</v>
      </c>
      <c r="N14" s="57"/>
      <c r="O14" s="8"/>
      <c r="P14" s="8">
        <f>+P5/P11</f>
        <v>38.687678571428577</v>
      </c>
      <c r="Q14" s="57"/>
      <c r="R14" s="8"/>
      <c r="S14" s="8">
        <f>+S5/S11</f>
        <v>48.043214285714285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38.878988095238093</v>
      </c>
      <c r="AQ14" s="57"/>
      <c r="AR14" s="8"/>
      <c r="AS14" s="36">
        <f>+AS5/AS11</f>
        <v>38.878988095238086</v>
      </c>
      <c r="AT14" s="57"/>
      <c r="AU14" s="8"/>
    </row>
    <row r="15" spans="2:47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25.851168112249997</v>
      </c>
      <c r="H15" s="57"/>
      <c r="I15" s="8"/>
      <c r="J15" s="8">
        <f>+J12/J11</f>
        <v>30.896428571428572</v>
      </c>
      <c r="K15" s="57"/>
      <c r="L15" s="8"/>
      <c r="M15" s="8">
        <f>+M12/M11</f>
        <v>30.293678571428568</v>
      </c>
      <c r="N15" s="57"/>
      <c r="O15" s="8"/>
      <c r="P15" s="8">
        <f>+P12/P11</f>
        <v>30.735826082142857</v>
      </c>
      <c r="Q15" s="57"/>
      <c r="R15" s="8"/>
      <c r="S15" s="8">
        <f>+S12/S11</f>
        <v>32.54139285714286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29.756737210970236</v>
      </c>
      <c r="AQ15" s="57"/>
      <c r="AR15" s="8"/>
      <c r="AS15" s="36">
        <f>+AS12/AS11</f>
        <v>29.756737210970236</v>
      </c>
      <c r="AT15" s="57"/>
      <c r="AU15" s="8"/>
    </row>
    <row r="16" spans="2:47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0.81426005931904821</v>
      </c>
      <c r="H16" s="57"/>
      <c r="I16" s="33"/>
      <c r="J16" s="33">
        <f>+J12/J7</f>
        <v>0.87727180503614433</v>
      </c>
      <c r="K16" s="57"/>
      <c r="L16" s="33"/>
      <c r="M16" s="33">
        <f>+M12/M7</f>
        <v>0.877283916129457</v>
      </c>
      <c r="N16" s="57"/>
      <c r="O16" s="33"/>
      <c r="P16" s="33">
        <f>+P12/P7</f>
        <v>0.88065786845720595</v>
      </c>
      <c r="Q16" s="57"/>
      <c r="R16" s="33"/>
      <c r="S16" s="33">
        <f>+S12/S7</f>
        <v>0.71618548108175228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0.82991469834935228</v>
      </c>
      <c r="AQ16" s="57"/>
      <c r="AR16" s="33"/>
      <c r="AS16" s="35">
        <f>+AS12/AS7</f>
        <v>0.82991469834935228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9060</v>
      </c>
      <c r="E18" s="11">
        <v>9060</v>
      </c>
      <c r="F18" s="67">
        <f>+D18/F4</f>
        <v>906</v>
      </c>
      <c r="G18" s="11">
        <v>9102</v>
      </c>
      <c r="H18" s="11">
        <v>9102</v>
      </c>
      <c r="I18" s="67">
        <f>+G18/I4</f>
        <v>910.2</v>
      </c>
      <c r="J18" s="11">
        <v>11755</v>
      </c>
      <c r="K18" s="11">
        <v>11755</v>
      </c>
      <c r="L18" s="67">
        <f>+J18/L4</f>
        <v>1175.5</v>
      </c>
      <c r="M18" s="11">
        <f>48119-38862.58</f>
        <v>9256.4199999999983</v>
      </c>
      <c r="N18" s="11">
        <f>48119-38862.58</f>
        <v>9256.4199999999983</v>
      </c>
      <c r="O18" s="67">
        <f>+M18/O4</f>
        <v>925.64199999999983</v>
      </c>
      <c r="P18" s="11">
        <v>9518.6039999999994</v>
      </c>
      <c r="Q18" s="11">
        <v>9518.6039999999994</v>
      </c>
      <c r="R18" s="67">
        <f>+P18/R4</f>
        <v>951.86039999999991</v>
      </c>
      <c r="S18" s="11">
        <v>9157.7279999999992</v>
      </c>
      <c r="T18" s="11">
        <v>9157.7279999999992</v>
      </c>
      <c r="U18" s="67">
        <f>+S18/U4</f>
        <v>915.77279999999996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57849.751999999993</v>
      </c>
      <c r="AQ18" s="67">
        <f>+T18+AC18+AF18+AI18+AL18+Z18+W18+Q18+N18+K18+H18+E18</f>
        <v>57849.751999999993</v>
      </c>
      <c r="AR18" s="67">
        <f>+AP18/AR4</f>
        <v>5784.9751999999989</v>
      </c>
      <c r="AS18" s="14">
        <f t="shared" ref="AS18:AT20" si="3">+AP18/$AS$4</f>
        <v>9641.6253333333316</v>
      </c>
      <c r="AT18" s="67">
        <f t="shared" si="3"/>
        <v>9641.6253333333316</v>
      </c>
      <c r="AU18" s="67">
        <f>+AS18/AU4</f>
        <v>964.16253333333316</v>
      </c>
    </row>
    <row r="19" spans="2:47">
      <c r="B19" s="17" t="s">
        <v>32</v>
      </c>
      <c r="C19" s="16"/>
      <c r="D19" s="11">
        <v>842.55</v>
      </c>
      <c r="E19" s="11">
        <v>842.55</v>
      </c>
      <c r="F19" s="67">
        <f>+D19/F4</f>
        <v>84.254999999999995</v>
      </c>
      <c r="G19" s="11">
        <v>847.32</v>
      </c>
      <c r="H19" s="11">
        <v>847.32</v>
      </c>
      <c r="I19" s="67">
        <f>+G19/I4</f>
        <v>84.731999999999999</v>
      </c>
      <c r="J19" s="11">
        <v>938.22</v>
      </c>
      <c r="K19" s="11">
        <v>938.22</v>
      </c>
      <c r="L19" s="67">
        <f>+J19/L4</f>
        <v>93.822000000000003</v>
      </c>
      <c r="M19" s="11">
        <f>4326.55-3494.2732</f>
        <v>832.27680000000009</v>
      </c>
      <c r="N19" s="11">
        <f>4326.55-3494.2732</f>
        <v>832.27680000000009</v>
      </c>
      <c r="O19" s="67">
        <f>+M19/O4</f>
        <v>83.227680000000007</v>
      </c>
      <c r="P19" s="11">
        <v>912.29480000000001</v>
      </c>
      <c r="Q19" s="11">
        <v>912.29480000000001</v>
      </c>
      <c r="R19" s="67">
        <f>+P19/R4</f>
        <v>91.229479999999995</v>
      </c>
      <c r="S19" s="11">
        <v>848.54309999999998</v>
      </c>
      <c r="T19" s="11">
        <v>848.54309999999998</v>
      </c>
      <c r="U19" s="67">
        <f>+S19/U4</f>
        <v>84.854309999999998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5221.2047000000002</v>
      </c>
      <c r="AQ19" s="67">
        <f t="shared" ref="AQ19:AQ20" si="4">+T19+AC19+AF19+AI19+AL19+Z19+W19+Q19+N19+K19+H19+E19</f>
        <v>5221.2047000000002</v>
      </c>
      <c r="AR19" s="67">
        <f>+AP19/AR4</f>
        <v>522.12047000000007</v>
      </c>
      <c r="AS19" s="14">
        <f t="shared" si="3"/>
        <v>870.20078333333333</v>
      </c>
      <c r="AT19" s="67">
        <f t="shared" si="3"/>
        <v>870.20078333333333</v>
      </c>
      <c r="AU19" s="67">
        <f>+AS19/AU4</f>
        <v>87.020078333333331</v>
      </c>
    </row>
    <row r="20" spans="2:47">
      <c r="B20" s="17" t="s">
        <v>27</v>
      </c>
      <c r="C20" s="16"/>
      <c r="D20" s="11">
        <v>30.414709999999999</v>
      </c>
      <c r="E20" s="59">
        <v>31.154</v>
      </c>
      <c r="F20" s="67">
        <f>+D20/F4</f>
        <v>3.041471</v>
      </c>
      <c r="G20" s="11">
        <v>31.582930000000001</v>
      </c>
      <c r="H20" s="59">
        <v>31.582930000000001</v>
      </c>
      <c r="I20" s="67">
        <f>+G20/I4</f>
        <v>3.158293</v>
      </c>
      <c r="J20" s="11">
        <v>34.390999999999998</v>
      </c>
      <c r="K20" s="59">
        <v>34.391640000000002</v>
      </c>
      <c r="L20" s="67">
        <f>+J20/L4</f>
        <v>3.4390999999999998</v>
      </c>
      <c r="M20" s="11">
        <f>5.86766+151.09302-126.7669388</f>
        <v>30.193741199999991</v>
      </c>
      <c r="N20" s="59">
        <v>30.19373736</v>
      </c>
      <c r="O20" s="67">
        <f>+M20/O4</f>
        <v>3.0193741199999993</v>
      </c>
      <c r="P20" s="11">
        <f>5.9747+167.02972-139.72442</f>
        <v>33.28</v>
      </c>
      <c r="Q20" s="59">
        <v>33.279999099999998</v>
      </c>
      <c r="R20" s="67">
        <f>+P20/R4</f>
        <v>3.3280000000000003</v>
      </c>
      <c r="S20" s="11">
        <v>31.348628999999999</v>
      </c>
      <c r="T20" s="59">
        <v>31.34862</v>
      </c>
      <c r="U20" s="67">
        <f>+S20/U4</f>
        <v>3.1348628999999999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191.21101019999998</v>
      </c>
      <c r="AQ20" s="67">
        <f t="shared" si="4"/>
        <v>191.95092646000001</v>
      </c>
      <c r="AR20" s="67">
        <f>+AP20/AR4</f>
        <v>19.121101019999998</v>
      </c>
      <c r="AS20" s="14">
        <f t="shared" si="3"/>
        <v>31.868501699999996</v>
      </c>
      <c r="AT20" s="67">
        <f t="shared" si="3"/>
        <v>31.991821076666668</v>
      </c>
      <c r="AU20" s="67">
        <f>+AS20/AU4</f>
        <v>3.1868501699999996</v>
      </c>
    </row>
    <row r="21" spans="2:47">
      <c r="B21" s="18" t="s">
        <v>18</v>
      </c>
      <c r="C21" s="16"/>
      <c r="D21" s="44">
        <f t="shared" ref="D21:E21" si="5">+D20/D19*1000</f>
        <v>36.098403655569406</v>
      </c>
      <c r="E21" s="60">
        <f t="shared" si="5"/>
        <v>36.975847130734081</v>
      </c>
      <c r="F21" s="60"/>
      <c r="G21" s="44">
        <f t="shared" ref="G21:H21" si="6">+G20/G19*1000</f>
        <v>37.273910683094932</v>
      </c>
      <c r="H21" s="60">
        <f t="shared" si="6"/>
        <v>37.273910683094932</v>
      </c>
      <c r="I21" s="60"/>
      <c r="J21" s="44">
        <f t="shared" ref="J21:K21" si="7">+J20/J19*1000</f>
        <v>36.655581846475236</v>
      </c>
      <c r="K21" s="60">
        <f t="shared" si="7"/>
        <v>36.656263989256253</v>
      </c>
      <c r="L21" s="60"/>
      <c r="M21" s="44">
        <f t="shared" ref="M21:N21" si="8">+M20/M19*1000</f>
        <v>36.278484754110636</v>
      </c>
      <c r="N21" s="60">
        <f t="shared" si="8"/>
        <v>36.278480140261024</v>
      </c>
      <c r="O21" s="60"/>
      <c r="P21" s="44">
        <f t="shared" ref="P21:Q21" si="9">+P20/P19*1000</f>
        <v>36.479436252404376</v>
      </c>
      <c r="Q21" s="60">
        <f t="shared" si="9"/>
        <v>36.479435265881158</v>
      </c>
      <c r="R21" s="60"/>
      <c r="S21" s="44">
        <f t="shared" ref="S21:AC21" si="10">+S20/S19*1000</f>
        <v>36.944062122477924</v>
      </c>
      <c r="T21" s="60">
        <f t="shared" si="10"/>
        <v>36.94405151606324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36.622009897447604</v>
      </c>
      <c r="AQ21" s="68">
        <f>+AQ20/AQ19*1000</f>
        <v>36.763723601949565</v>
      </c>
      <c r="AR21" s="60"/>
      <c r="AS21" s="45">
        <f>+AS20/AS19*1000</f>
        <v>36.622009897447604</v>
      </c>
      <c r="AT21" s="68">
        <f>+AT20/AT19*1000</f>
        <v>36.763723601949565</v>
      </c>
      <c r="AU21" s="60"/>
    </row>
    <row r="22" spans="2:47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46">
        <f>+G19/G18</f>
        <v>9.3091628213579442E-2</v>
      </c>
      <c r="H22" s="46">
        <f>+H19/H18</f>
        <v>9.3091628213579442E-2</v>
      </c>
      <c r="I22" s="61"/>
      <c r="J22" s="46">
        <f>+J19/J18</f>
        <v>7.9814547001276048E-2</v>
      </c>
      <c r="K22" s="46">
        <f>+K19/K18</f>
        <v>7.9814547001276048E-2</v>
      </c>
      <c r="L22" s="61"/>
      <c r="M22" s="46">
        <f>+M19/M18</f>
        <v>8.9913465465050232E-2</v>
      </c>
      <c r="N22" s="46">
        <f>+N19/N18</f>
        <v>8.9913465465050232E-2</v>
      </c>
      <c r="O22" s="61"/>
      <c r="P22" s="46">
        <f>+P19/P18</f>
        <v>9.5843340052806064E-2</v>
      </c>
      <c r="Q22" s="46">
        <f>+Q19/Q18</f>
        <v>9.5843340052806064E-2</v>
      </c>
      <c r="R22" s="61"/>
      <c r="S22" s="46">
        <f>+S19/S18</f>
        <v>9.2658692199637294E-2</v>
      </c>
      <c r="T22" s="46">
        <f>+T19/T18</f>
        <v>9.2658692199637294E-2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9.0254573606469407E-2</v>
      </c>
      <c r="AQ22" s="47">
        <f>+AQ19/AQ18</f>
        <v>9.0254573606469407E-2</v>
      </c>
      <c r="AR22" s="61"/>
      <c r="AS22" s="47">
        <f>+AS19/AS18</f>
        <v>9.0254573606469407E-2</v>
      </c>
      <c r="AT22" s="47">
        <f>+AT19/AT18</f>
        <v>9.0254573606469407E-2</v>
      </c>
      <c r="AU22" s="61"/>
    </row>
    <row r="23" spans="2:47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+G20*1000/(G18*G21)*100</f>
        <v>9.3091628213579423</v>
      </c>
      <c r="H23" s="48">
        <f>+H20*1000/(H18*H21)*100</f>
        <v>9.3091628213579423</v>
      </c>
      <c r="I23" s="62"/>
      <c r="J23" s="48">
        <f>+J20*1000/(J18*J21)*100</f>
        <v>7.9814547001276059</v>
      </c>
      <c r="K23" s="48">
        <f>+K20*1000/(K18*K21)*100</f>
        <v>7.9814547001276051</v>
      </c>
      <c r="L23" s="62"/>
      <c r="M23" s="48">
        <f>+M20*1000/(M18*M21)*100</f>
        <v>8.9913465465050226</v>
      </c>
      <c r="N23" s="48">
        <f>+N20*1000/(N18*N21)*100</f>
        <v>8.9913465465050226</v>
      </c>
      <c r="O23" s="62"/>
      <c r="P23" s="48">
        <f>+P20*1000/(P18*P21)*100</f>
        <v>9.5843340052806081</v>
      </c>
      <c r="Q23" s="48">
        <f>+Q20*1000/(Q18*Q21)*100</f>
        <v>9.5843340052806081</v>
      </c>
      <c r="R23" s="62"/>
      <c r="S23" s="48">
        <f>+S20*1000/(S18*S21)*100</f>
        <v>9.2658692199637311</v>
      </c>
      <c r="T23" s="48">
        <f>+T20*1000/(T18*T21)*100</f>
        <v>9.2658692199637294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9.0254573606469428</v>
      </c>
      <c r="AQ23" s="49">
        <f>+AQ20/(AQ18*AQ21)*1000*100</f>
        <v>9.025457360646941</v>
      </c>
      <c r="AR23" s="62"/>
      <c r="AS23" s="49">
        <f>+AS20/(AS18*AS21)*1000*100</f>
        <v>9.0254573606469428</v>
      </c>
      <c r="AT23" s="49">
        <f>+AT20/(AT18*AT21)*1000*100</f>
        <v>9.0254573606469428</v>
      </c>
    </row>
    <row r="24" spans="2:47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3.4698890353768403</v>
      </c>
      <c r="H24" s="48">
        <f>+H20/H18*1000</f>
        <v>3.4698890353768403</v>
      </c>
      <c r="I24" s="62"/>
      <c r="J24" s="48">
        <f>+J20/J18*1000</f>
        <v>2.9256486601446188</v>
      </c>
      <c r="K24" s="48">
        <f>+K20/K18*1000</f>
        <v>2.9257031050616757</v>
      </c>
      <c r="L24" s="62"/>
      <c r="M24" s="48">
        <f>+M20/M18*1000</f>
        <v>3.2619242860630782</v>
      </c>
      <c r="N24" s="48">
        <f>+N20/N18*1000</f>
        <v>3.26192387121587</v>
      </c>
      <c r="O24" s="62"/>
      <c r="P24" s="48">
        <f>+P20/P18*1000</f>
        <v>3.4963110136738544</v>
      </c>
      <c r="Q24" s="48">
        <f>+Q20/Q18*1000</f>
        <v>3.4963109191221737</v>
      </c>
      <c r="R24" s="62"/>
      <c r="S24" s="48">
        <f>+S20/S18*1000</f>
        <v>3.4231884808109609</v>
      </c>
      <c r="T24" s="48">
        <f>+T20/T18*1000</f>
        <v>3.4231874980344474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3.3053038879060361</v>
      </c>
      <c r="AQ24" s="48">
        <f>+AQ20/AQ18*1000</f>
        <v>3.3180941978800536</v>
      </c>
      <c r="AR24" s="62"/>
      <c r="AS24" s="48">
        <f>+AS20/AS18*1000</f>
        <v>3.3053038879060361</v>
      </c>
      <c r="AT24" s="48">
        <f>+AT20/AT18*1000</f>
        <v>3.3180941978800536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1014.7292643786179</v>
      </c>
      <c r="E26" s="63"/>
      <c r="F26" s="63"/>
      <c r="G26" s="21">
        <f>+G8/(1-G6/G5)</f>
        <v>1005.3884530336118</v>
      </c>
      <c r="H26" s="63"/>
      <c r="I26" s="63"/>
      <c r="J26" s="21">
        <f>+J8/(1-J6/J5)</f>
        <v>1018.7343700194722</v>
      </c>
      <c r="K26" s="63"/>
      <c r="L26" s="63"/>
      <c r="M26" s="21">
        <f>+M8/(1-M6/M5)</f>
        <v>1131.7682455844458</v>
      </c>
      <c r="N26" s="63"/>
      <c r="O26" s="63"/>
      <c r="P26" s="21">
        <f>+P8/(1-P6/P5)</f>
        <v>1262.425437408054</v>
      </c>
      <c r="Q26" s="63"/>
      <c r="R26" s="63"/>
      <c r="S26" s="21">
        <f>+S8/(1-S6/S5)</f>
        <v>1154.342098990908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6578.7139100616914</v>
      </c>
      <c r="AQ26" s="71"/>
      <c r="AR26" s="71"/>
      <c r="AS26" s="31">
        <f>+AS8/(1-AS6/AS5)</f>
        <v>1096.4523183436152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S1" sqref="S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54</v>
      </c>
      <c r="E3" s="23" t="s">
        <v>24</v>
      </c>
      <c r="F3" s="3" t="s">
        <v>37</v>
      </c>
      <c r="G3" s="90" t="s">
        <v>53</v>
      </c>
      <c r="H3" s="23" t="s">
        <v>24</v>
      </c>
      <c r="I3" s="3" t="s">
        <v>37</v>
      </c>
      <c r="J3" s="90" t="s">
        <v>52</v>
      </c>
      <c r="K3" s="23" t="s">
        <v>24</v>
      </c>
      <c r="L3" s="3" t="s">
        <v>37</v>
      </c>
      <c r="M3" s="90" t="s">
        <v>51</v>
      </c>
      <c r="N3" s="23" t="s">
        <v>24</v>
      </c>
      <c r="O3" s="3" t="s">
        <v>37</v>
      </c>
      <c r="P3" s="90" t="s">
        <v>50</v>
      </c>
      <c r="Q3" s="23" t="s">
        <v>24</v>
      </c>
      <c r="R3" s="3" t="s">
        <v>37</v>
      </c>
      <c r="S3" s="90" t="s">
        <v>49</v>
      </c>
      <c r="T3" s="23" t="s">
        <v>24</v>
      </c>
      <c r="U3" s="3" t="s">
        <v>37</v>
      </c>
      <c r="V3" s="90" t="s">
        <v>48</v>
      </c>
      <c r="W3" s="73" t="s">
        <v>24</v>
      </c>
      <c r="X3" s="3" t="s">
        <v>37</v>
      </c>
      <c r="Y3" s="90" t="s">
        <v>47</v>
      </c>
      <c r="Z3" s="73" t="s">
        <v>24</v>
      </c>
      <c r="AA3" s="3" t="s">
        <v>37</v>
      </c>
      <c r="AB3" s="4" t="s">
        <v>46</v>
      </c>
      <c r="AC3" s="73" t="s">
        <v>24</v>
      </c>
      <c r="AD3" s="3" t="s">
        <v>37</v>
      </c>
      <c r="AE3" s="4" t="s">
        <v>45</v>
      </c>
      <c r="AF3" s="73" t="s">
        <v>24</v>
      </c>
      <c r="AG3" s="3" t="s">
        <v>37</v>
      </c>
      <c r="AH3" s="4" t="s">
        <v>44</v>
      </c>
      <c r="AI3" s="73" t="s">
        <v>24</v>
      </c>
      <c r="AJ3" s="3" t="s">
        <v>37</v>
      </c>
      <c r="AK3" s="4" t="s">
        <v>43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10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6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1331.538</v>
      </c>
      <c r="E5" s="54">
        <f>+D5/D5</f>
        <v>1</v>
      </c>
      <c r="F5" s="85">
        <f>+D5/F4</f>
        <v>133.15379999999999</v>
      </c>
      <c r="G5" s="9">
        <v>1221.0899999999999</v>
      </c>
      <c r="H5" s="54">
        <f>+G5/G5</f>
        <v>1</v>
      </c>
      <c r="I5" s="85">
        <f>+G5/I4</f>
        <v>122.10899999999999</v>
      </c>
      <c r="J5" s="9">
        <v>1475.06</v>
      </c>
      <c r="K5" s="54">
        <f>+J5/J5</f>
        <v>1</v>
      </c>
      <c r="L5" s="85">
        <f>+J5/L4</f>
        <v>147.506</v>
      </c>
      <c r="M5" s="9">
        <v>1385.76</v>
      </c>
      <c r="N5" s="54">
        <f>+M5/M5</f>
        <v>1</v>
      </c>
      <c r="O5" s="85">
        <f>+M5/O4</f>
        <v>138.57599999999999</v>
      </c>
      <c r="P5" s="9">
        <f>43.445+1294.594</f>
        <v>1338.039</v>
      </c>
      <c r="Q5" s="54">
        <f>+P5/P5</f>
        <v>1</v>
      </c>
      <c r="R5" s="85">
        <f>+P5/R4</f>
        <v>133.8039</v>
      </c>
      <c r="S5" s="9">
        <f>4.633+1369</f>
        <v>1373.633</v>
      </c>
      <c r="T5" s="54">
        <f>+S5/S5</f>
        <v>1</v>
      </c>
      <c r="U5" s="85">
        <f>+S5/U4</f>
        <v>137.36330000000001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8125.1200000000008</v>
      </c>
      <c r="AQ5" s="64">
        <f>+AP5/$AP$5</f>
        <v>1</v>
      </c>
      <c r="AR5" s="85">
        <f>+AP5/AR4</f>
        <v>812.51200000000006</v>
      </c>
      <c r="AS5" s="30">
        <f>+AP5/$AS$4</f>
        <v>1354.1866666666667</v>
      </c>
      <c r="AT5" s="57"/>
      <c r="AU5" s="85">
        <f>+AS5/AU4</f>
        <v>135.41866666666667</v>
      </c>
    </row>
    <row r="6" spans="2:47">
      <c r="B6" s="7" t="s">
        <v>4</v>
      </c>
      <c r="C6" s="16"/>
      <c r="D6" s="11">
        <f>5.74+30.9237+30.487+5.699</f>
        <v>72.849699999999999</v>
      </c>
      <c r="E6" s="55">
        <f>+D6/D5</f>
        <v>5.4710943285133429E-2</v>
      </c>
      <c r="F6" s="86">
        <f>+D6/F4</f>
        <v>7.2849699999999995</v>
      </c>
      <c r="G6" s="11">
        <f>3.7773+23.158+9.87189+53.028</f>
        <v>89.835190000000011</v>
      </c>
      <c r="H6" s="55">
        <f>+G6/G5</f>
        <v>7.3569671359195482E-2</v>
      </c>
      <c r="I6" s="86">
        <f>+G6/I4</f>
        <v>8.9835190000000011</v>
      </c>
      <c r="J6" s="11">
        <f>4.5329+28.655+1.453+89.873</f>
        <v>124.51390000000001</v>
      </c>
      <c r="K6" s="55">
        <f>+J6/J5</f>
        <v>8.4412769650048139E-2</v>
      </c>
      <c r="L6" s="86">
        <f>+J6/L4</f>
        <v>12.45139</v>
      </c>
      <c r="M6" s="11">
        <f>4.17+26.1011+12.08+89.244</f>
        <v>131.5951</v>
      </c>
      <c r="N6" s="55">
        <f>+M6/M5</f>
        <v>9.4962403302159104E-2</v>
      </c>
      <c r="O6" s="86">
        <f>+M6/O4</f>
        <v>13.159510000000001</v>
      </c>
      <c r="P6" s="11">
        <f>4.2759+0.95096+26.0784+14.291</f>
        <v>45.596260000000001</v>
      </c>
      <c r="Q6" s="55">
        <f>+P6/P5</f>
        <v>3.4076928998332638E-2</v>
      </c>
      <c r="R6" s="86">
        <f>+P6/R4</f>
        <v>4.5596259999999997</v>
      </c>
      <c r="S6" s="11">
        <f>7.1262+26.8737+0.62509+35.267</f>
        <v>69.891989999999993</v>
      </c>
      <c r="T6" s="55">
        <f>+S6/S5</f>
        <v>5.0881123269461342E-2</v>
      </c>
      <c r="U6" s="86">
        <f>+S6/U4</f>
        <v>6.9891989999999993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534.28214000000003</v>
      </c>
      <c r="AQ6" s="65">
        <f>+AP6/$AP$5</f>
        <v>6.5756830668347047E-2</v>
      </c>
      <c r="AR6" s="86">
        <f>+AP6/AR4</f>
        <v>53.428214000000004</v>
      </c>
      <c r="AS6" s="14">
        <f t="shared" ref="AS6:AS9" si="0">+AP6/$AS$4</f>
        <v>89.047023333333343</v>
      </c>
      <c r="AT6" s="57"/>
      <c r="AU6" s="86">
        <f>+AS6/AU4</f>
        <v>8.9047023333333346</v>
      </c>
    </row>
    <row r="7" spans="2:47">
      <c r="B7" s="10" t="s">
        <v>7</v>
      </c>
      <c r="C7" s="16"/>
      <c r="D7" s="8">
        <f>+D5-D6</f>
        <v>1258.6883</v>
      </c>
      <c r="E7" s="56">
        <f>+D7/D5</f>
        <v>0.94528905671486663</v>
      </c>
      <c r="F7" s="87">
        <f>+F5-F6</f>
        <v>125.86882999999999</v>
      </c>
      <c r="G7" s="8">
        <f>+G5-G6</f>
        <v>1131.2548099999999</v>
      </c>
      <c r="H7" s="56">
        <f>+G7/G5</f>
        <v>0.92643032864080455</v>
      </c>
      <c r="I7" s="87">
        <f>+I5-I6</f>
        <v>113.12548099999999</v>
      </c>
      <c r="J7" s="8">
        <f>+J5-J6</f>
        <v>1350.5461</v>
      </c>
      <c r="K7" s="56">
        <f>+J7/J5</f>
        <v>0.91558723034995193</v>
      </c>
      <c r="L7" s="87">
        <f>+L5-L6</f>
        <v>135.05461</v>
      </c>
      <c r="M7" s="8">
        <f>+M5-M6</f>
        <v>1254.1649</v>
      </c>
      <c r="N7" s="56">
        <f>+M7/M5</f>
        <v>0.9050375966978409</v>
      </c>
      <c r="O7" s="87">
        <f>+O5-O6</f>
        <v>125.41649</v>
      </c>
      <c r="P7" s="8">
        <f>+P5-P6</f>
        <v>1292.44274</v>
      </c>
      <c r="Q7" s="56">
        <f>+P7/P5</f>
        <v>0.9659230710016673</v>
      </c>
      <c r="R7" s="87">
        <f>+R5-R6</f>
        <v>129.24427399999999</v>
      </c>
      <c r="S7" s="8">
        <f>+S5-S6</f>
        <v>1303.74101</v>
      </c>
      <c r="T7" s="56">
        <f>+S7/S5</f>
        <v>0.94911887673053863</v>
      </c>
      <c r="U7" s="87">
        <f>+U5-U6</f>
        <v>130.374101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7590.8378599999996</v>
      </c>
      <c r="AQ7" s="65">
        <f>+AP7/$AP$5</f>
        <v>0.93424316933165286</v>
      </c>
      <c r="AR7" s="87">
        <f>+AR5-AR6</f>
        <v>759.08378600000003</v>
      </c>
      <c r="AS7" s="13">
        <f t="shared" si="0"/>
        <v>1265.1396433333332</v>
      </c>
      <c r="AT7" s="57"/>
      <c r="AU7" s="87">
        <f>+AU5-AU6</f>
        <v>126.51396433333333</v>
      </c>
    </row>
    <row r="8" spans="2:47">
      <c r="B8" s="7" t="s">
        <v>5</v>
      </c>
      <c r="C8" s="16"/>
      <c r="D8" s="11">
        <v>1218.44</v>
      </c>
      <c r="E8" s="55">
        <f>+D8/D5</f>
        <v>0.91506213115960644</v>
      </c>
      <c r="F8" s="86">
        <f>+D8/F4</f>
        <v>121.84400000000001</v>
      </c>
      <c r="G8" s="11">
        <v>1131.499</v>
      </c>
      <c r="H8" s="55">
        <f>+G8/G5</f>
        <v>0.92663030571047189</v>
      </c>
      <c r="I8" s="86">
        <f>+G8/I4</f>
        <v>113.1499</v>
      </c>
      <c r="J8" s="11">
        <v>1154.6300000000001</v>
      </c>
      <c r="K8" s="55">
        <f>+J8/J5</f>
        <v>0.78276815858337978</v>
      </c>
      <c r="L8" s="86">
        <f>+J8/L4</f>
        <v>115.46300000000001</v>
      </c>
      <c r="M8" s="11">
        <v>1231.607</v>
      </c>
      <c r="N8" s="55">
        <f>+M8/M5</f>
        <v>0.88875923680868263</v>
      </c>
      <c r="O8" s="86">
        <f>+M8/O4</f>
        <v>123.16069999999999</v>
      </c>
      <c r="P8" s="11">
        <f>1253.658+109.16612-4.2759-26.0784-0.95-14.291</f>
        <v>1317.2288199999998</v>
      </c>
      <c r="Q8" s="55">
        <f>+P8/P5</f>
        <v>0.98444725452696058</v>
      </c>
      <c r="R8" s="86">
        <f>+P8/R4</f>
        <v>131.72288199999997</v>
      </c>
      <c r="S8" s="11">
        <v>1434.491</v>
      </c>
      <c r="T8" s="55">
        <f>+S8/S5</f>
        <v>1.0443044102755248</v>
      </c>
      <c r="U8" s="86">
        <f>+S8/U4</f>
        <v>143.44909999999999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7487.8958199999997</v>
      </c>
      <c r="AQ8" s="65">
        <f>+AP8/$AP$5</f>
        <v>0.92157356691347314</v>
      </c>
      <c r="AR8" s="86">
        <f>+AP8/AR4</f>
        <v>748.789582</v>
      </c>
      <c r="AS8" s="14">
        <f t="shared" si="0"/>
        <v>1247.9826366666666</v>
      </c>
      <c r="AT8" s="57"/>
      <c r="AU8" s="86">
        <f>+AS8/AU4</f>
        <v>124.79826366666666</v>
      </c>
    </row>
    <row r="9" spans="2:47">
      <c r="B9" s="18" t="s">
        <v>13</v>
      </c>
      <c r="C9" s="16"/>
      <c r="D9" s="15">
        <f>+D5-D6-D8</f>
        <v>40.248299999999972</v>
      </c>
      <c r="E9" s="54">
        <f>+D9/D5</f>
        <v>3.0226925555260138E-2</v>
      </c>
      <c r="F9" s="15">
        <f>+F5-F6-F8</f>
        <v>4.0248299999999801</v>
      </c>
      <c r="G9" s="15">
        <f>+G5-G6-G8</f>
        <v>-0.24419000000011692</v>
      </c>
      <c r="H9" s="54">
        <f>+G9/G5</f>
        <v>-1.9997706966736026E-4</v>
      </c>
      <c r="I9" s="15">
        <f>+I5-I6-I8</f>
        <v>-2.441900000000885E-2</v>
      </c>
      <c r="J9" s="15">
        <f>+J5-J6-J8</f>
        <v>195.91609999999991</v>
      </c>
      <c r="K9" s="54">
        <f>+J9/J5</f>
        <v>0.13281907176657215</v>
      </c>
      <c r="L9" s="15">
        <f>+L5-L6-L8</f>
        <v>19.591609999999989</v>
      </c>
      <c r="M9" s="15">
        <f>+M5-M6-M8</f>
        <v>22.557900000000018</v>
      </c>
      <c r="N9" s="54">
        <f>+M9/M5</f>
        <v>1.6278359889158309E-2</v>
      </c>
      <c r="O9" s="15">
        <f>+O5-O6-O8</f>
        <v>2.2557900000000046</v>
      </c>
      <c r="P9" s="15">
        <f>+P5-P6-P8</f>
        <v>-24.786079999999856</v>
      </c>
      <c r="Q9" s="54">
        <f>+P9/P5</f>
        <v>-1.8524183525293249E-2</v>
      </c>
      <c r="R9" s="15">
        <f>+R5-R6-R8</f>
        <v>-2.4786079999999799</v>
      </c>
      <c r="S9" s="15">
        <f>+S5-S6-S8</f>
        <v>-130.74999000000003</v>
      </c>
      <c r="T9" s="54">
        <f>+S9/S5</f>
        <v>-9.5185533544986198E-2</v>
      </c>
      <c r="U9" s="15">
        <f>+U5-U6-U8</f>
        <v>-13.074998999999991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102.94203999999991</v>
      </c>
      <c r="AQ9" s="64">
        <f>+AP9/$AP$5</f>
        <v>1.2669602418179658E-2</v>
      </c>
      <c r="AR9" s="15">
        <f>+AR5-AR6-AR8</f>
        <v>10.294204000000036</v>
      </c>
      <c r="AS9" s="29">
        <f t="shared" si="0"/>
        <v>17.15700666666665</v>
      </c>
      <c r="AT9" s="57"/>
      <c r="AU9" s="15">
        <f>+AU5-AU6-AU8</f>
        <v>1.7157006666666774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28</v>
      </c>
      <c r="T11" s="57"/>
      <c r="U11" s="86">
        <f>+S11/U4</f>
        <v>2.8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168</v>
      </c>
      <c r="AQ11" s="57"/>
      <c r="AR11" s="86">
        <f>+AP11/AR4</f>
        <v>16.8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915.19299999999998</v>
      </c>
      <c r="E12" s="57"/>
      <c r="F12" s="86">
        <f>+D12/F4</f>
        <v>91.519300000000001</v>
      </c>
      <c r="G12" s="32">
        <v>880.55399999999997</v>
      </c>
      <c r="H12" s="57"/>
      <c r="I12" s="86">
        <f>+G12/I4</f>
        <v>88.055399999999992</v>
      </c>
      <c r="J12" s="32">
        <v>918.60199999999998</v>
      </c>
      <c r="K12" s="57"/>
      <c r="L12" s="86">
        <f>+J12/L4</f>
        <v>91.860199999999992</v>
      </c>
      <c r="M12" s="32">
        <v>949.47549000000004</v>
      </c>
      <c r="N12" s="57"/>
      <c r="O12" s="86">
        <f>+M12/O4</f>
        <v>94.947549000000009</v>
      </c>
      <c r="P12" s="32">
        <v>1050.375</v>
      </c>
      <c r="Q12" s="57"/>
      <c r="R12" s="86">
        <f>+P12/R4</f>
        <v>105.03749999999999</v>
      </c>
      <c r="S12" s="32">
        <v>1125.2011199999999</v>
      </c>
      <c r="T12" s="57"/>
      <c r="U12" s="86">
        <f>+S12/U4</f>
        <v>112.520112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5839.4006099999997</v>
      </c>
      <c r="AQ12" s="57"/>
      <c r="AR12" s="86">
        <f>+AP12/AR4</f>
        <v>583.94006100000001</v>
      </c>
      <c r="AS12" s="14">
        <f t="shared" ref="AS12" si="1">+AP12/$AS$4</f>
        <v>973.23343499999999</v>
      </c>
      <c r="AT12" s="57"/>
      <c r="AU12" s="86">
        <f>+AS12/AU4</f>
        <v>97.323343499999993</v>
      </c>
    </row>
    <row r="13" spans="2:47">
      <c r="B13" s="18" t="s">
        <v>19</v>
      </c>
      <c r="C13" s="16"/>
      <c r="D13" s="33">
        <f>+D12/D5</f>
        <v>0.68732022668523163</v>
      </c>
      <c r="E13" s="57"/>
      <c r="F13" s="33"/>
      <c r="G13" s="33">
        <f>+G12/G5</f>
        <v>0.72112129327076635</v>
      </c>
      <c r="H13" s="57"/>
      <c r="I13" s="33"/>
      <c r="J13" s="33">
        <f>+J12/J5</f>
        <v>0.62275568451452823</v>
      </c>
      <c r="K13" s="57"/>
      <c r="L13" s="33"/>
      <c r="M13" s="33">
        <f>+M12/M5</f>
        <v>0.6851658945271909</v>
      </c>
      <c r="N13" s="57"/>
      <c r="O13" s="33"/>
      <c r="P13" s="33">
        <f>+P12/P5</f>
        <v>0.78501075080771188</v>
      </c>
      <c r="Q13" s="57"/>
      <c r="R13" s="33"/>
      <c r="S13" s="33">
        <f>+S12/S5</f>
        <v>0.81914246381675448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0.71868484526997745</v>
      </c>
      <c r="AQ13" s="57"/>
      <c r="AR13" s="33"/>
      <c r="AS13" s="35">
        <f>+AS12/AS5</f>
        <v>0.71868484526997756</v>
      </c>
      <c r="AT13" s="57"/>
      <c r="AU13" s="33"/>
    </row>
    <row r="14" spans="2:47">
      <c r="B14" s="18" t="s">
        <v>15</v>
      </c>
      <c r="C14" s="16"/>
      <c r="D14" s="8">
        <f>+D5/D11</f>
        <v>47.554928571428569</v>
      </c>
      <c r="E14" s="57"/>
      <c r="F14" s="8"/>
      <c r="G14" s="8">
        <f>+G5/G11</f>
        <v>43.61035714285714</v>
      </c>
      <c r="H14" s="57"/>
      <c r="I14" s="8"/>
      <c r="J14" s="8">
        <f>+J5/J11</f>
        <v>52.680714285714281</v>
      </c>
      <c r="K14" s="57"/>
      <c r="L14" s="8"/>
      <c r="M14" s="8">
        <f>+M5/M11</f>
        <v>49.491428571428571</v>
      </c>
      <c r="N14" s="57"/>
      <c r="O14" s="8"/>
      <c r="P14" s="8">
        <f>+P5/P11</f>
        <v>47.787107142857145</v>
      </c>
      <c r="Q14" s="57"/>
      <c r="R14" s="8"/>
      <c r="S14" s="8">
        <f>+S5/S11</f>
        <v>49.058321428571432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48.363809523809529</v>
      </c>
      <c r="AQ14" s="57"/>
      <c r="AR14" s="8"/>
      <c r="AS14" s="36">
        <f>+AS5/AS11</f>
        <v>48.363809523809529</v>
      </c>
      <c r="AT14" s="57"/>
      <c r="AU14" s="8"/>
    </row>
    <row r="15" spans="2:47">
      <c r="B15" s="10" t="s">
        <v>33</v>
      </c>
      <c r="C15" s="16"/>
      <c r="D15" s="8">
        <f>+D12/D11</f>
        <v>32.685464285714282</v>
      </c>
      <c r="E15" s="57"/>
      <c r="F15" s="8"/>
      <c r="G15" s="8">
        <f>+G12/G11</f>
        <v>31.448357142857141</v>
      </c>
      <c r="H15" s="57"/>
      <c r="I15" s="8"/>
      <c r="J15" s="8">
        <f>+J12/J11</f>
        <v>32.807214285714288</v>
      </c>
      <c r="K15" s="57"/>
      <c r="L15" s="8"/>
      <c r="M15" s="8">
        <f>+M12/M11</f>
        <v>33.909838928571432</v>
      </c>
      <c r="N15" s="57"/>
      <c r="O15" s="8"/>
      <c r="P15" s="8">
        <f>+P12/P11</f>
        <v>37.513392857142854</v>
      </c>
      <c r="Q15" s="57"/>
      <c r="R15" s="8"/>
      <c r="S15" s="8">
        <f>+S12/S11</f>
        <v>40.185754285714282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34.758336964285711</v>
      </c>
      <c r="AQ15" s="57"/>
      <c r="AR15" s="8"/>
      <c r="AS15" s="36">
        <f>+AS12/AS11</f>
        <v>34.758336964285711</v>
      </c>
      <c r="AT15" s="57"/>
      <c r="AU15" s="8"/>
    </row>
    <row r="16" spans="2:47">
      <c r="B16" s="18" t="s">
        <v>20</v>
      </c>
      <c r="C16" s="16"/>
      <c r="D16" s="33">
        <f>+D12/D7</f>
        <v>0.72710058558580382</v>
      </c>
      <c r="E16" s="57"/>
      <c r="F16" s="33"/>
      <c r="G16" s="33">
        <f>+G12/G7</f>
        <v>0.77838696659331774</v>
      </c>
      <c r="H16" s="57"/>
      <c r="I16" s="33"/>
      <c r="J16" s="33">
        <f>+J12/J7</f>
        <v>0.68017078424794231</v>
      </c>
      <c r="K16" s="57"/>
      <c r="L16" s="33"/>
      <c r="M16" s="33">
        <f>+M12/M7</f>
        <v>0.75705793552347067</v>
      </c>
      <c r="N16" s="57"/>
      <c r="O16" s="33"/>
      <c r="P16" s="33">
        <f>+P12/P7</f>
        <v>0.81270524990530724</v>
      </c>
      <c r="Q16" s="57"/>
      <c r="R16" s="33"/>
      <c r="S16" s="33">
        <f>+S12/S7</f>
        <v>0.86305570766696982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0.76926957441296206</v>
      </c>
      <c r="AQ16" s="57"/>
      <c r="AR16" s="33"/>
      <c r="AS16" s="35">
        <f>+AS12/AS7</f>
        <v>0.76926957441296218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12170</v>
      </c>
      <c r="E18" s="11">
        <v>12170</v>
      </c>
      <c r="F18" s="67">
        <f>+D18/F4</f>
        <v>1217</v>
      </c>
      <c r="G18" s="11">
        <v>10129</v>
      </c>
      <c r="H18" s="11">
        <v>10129</v>
      </c>
      <c r="I18" s="67">
        <f>+G18/I4</f>
        <v>1012.9</v>
      </c>
      <c r="J18" s="11">
        <v>11940</v>
      </c>
      <c r="K18" s="11">
        <v>11940</v>
      </c>
      <c r="L18" s="67">
        <f>+J18/L4</f>
        <v>1194</v>
      </c>
      <c r="M18" s="11">
        <v>11529</v>
      </c>
      <c r="N18" s="11">
        <v>11529</v>
      </c>
      <c r="O18" s="67">
        <f>+M18/O4</f>
        <v>1152.9000000000001</v>
      </c>
      <c r="P18" s="11">
        <v>11440</v>
      </c>
      <c r="Q18" s="11">
        <v>11440</v>
      </c>
      <c r="R18" s="67">
        <f>+P18/R4</f>
        <v>1144</v>
      </c>
      <c r="S18" s="11">
        <v>10883</v>
      </c>
      <c r="T18" s="11">
        <v>10883</v>
      </c>
      <c r="U18" s="67">
        <f>+S18/U4</f>
        <v>1088.3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68091</v>
      </c>
      <c r="AQ18" s="67">
        <f>+T18+AC18+AF18+AI18+AL18+Z18+W18+Q18+N18+K18+H18+E18</f>
        <v>68091</v>
      </c>
      <c r="AR18" s="67">
        <f>+AP18/AR4</f>
        <v>6809.1</v>
      </c>
      <c r="AS18" s="14">
        <f t="shared" ref="AS18:AT20" si="3">+AP18/$AS$4</f>
        <v>11348.5</v>
      </c>
      <c r="AT18" s="67">
        <f t="shared" si="3"/>
        <v>11348.5</v>
      </c>
      <c r="AU18" s="67">
        <f>+AS18/AU4</f>
        <v>1134.8499999999999</v>
      </c>
    </row>
    <row r="19" spans="2:47">
      <c r="B19" s="17" t="s">
        <v>32</v>
      </c>
      <c r="C19" s="16"/>
      <c r="D19" s="11">
        <v>1210.5899999999999</v>
      </c>
      <c r="E19" s="11">
        <v>1210.5899999999999</v>
      </c>
      <c r="F19" s="67">
        <f>+D19/F4</f>
        <v>121.059</v>
      </c>
      <c r="G19" s="11">
        <v>924.84</v>
      </c>
      <c r="H19" s="11">
        <v>924.84</v>
      </c>
      <c r="I19" s="67">
        <f>+G19/I4</f>
        <v>92.484000000000009</v>
      </c>
      <c r="J19" s="11">
        <v>1086.1199999999999</v>
      </c>
      <c r="K19" s="11">
        <v>1086.1199999999999</v>
      </c>
      <c r="L19" s="67">
        <f>+J19/L4</f>
        <v>108.61199999999999</v>
      </c>
      <c r="M19" s="11">
        <v>981.09</v>
      </c>
      <c r="N19" s="11">
        <v>981.09</v>
      </c>
      <c r="O19" s="67">
        <f>+M19/O4</f>
        <v>98.109000000000009</v>
      </c>
      <c r="P19" s="11">
        <v>971.04</v>
      </c>
      <c r="Q19" s="11">
        <v>971.04</v>
      </c>
      <c r="R19" s="67">
        <f>+P19/R4</f>
        <v>97.103999999999999</v>
      </c>
      <c r="S19" s="11">
        <v>1084.23</v>
      </c>
      <c r="T19" s="11">
        <v>1084.23</v>
      </c>
      <c r="U19" s="67">
        <f>+S19/U4</f>
        <v>108.423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6257.91</v>
      </c>
      <c r="AQ19" s="67">
        <f t="shared" ref="AQ19:AQ20" si="4">+T19+AC19+AF19+AI19+AL19+Z19+W19+Q19+N19+K19+H19+E19</f>
        <v>6257.91</v>
      </c>
      <c r="AR19" s="67">
        <f>+AP19/AR4</f>
        <v>625.79099999999994</v>
      </c>
      <c r="AS19" s="14">
        <f t="shared" si="3"/>
        <v>1042.9849999999999</v>
      </c>
      <c r="AT19" s="67">
        <f t="shared" si="3"/>
        <v>1042.9849999999999</v>
      </c>
      <c r="AU19" s="67">
        <f>+AS19/AU4</f>
        <v>104.29849999999999</v>
      </c>
    </row>
    <row r="20" spans="2:47">
      <c r="B20" s="17" t="s">
        <v>27</v>
      </c>
      <c r="C20" s="16"/>
      <c r="D20" s="11">
        <f>5.7404+30.9237</f>
        <v>36.664099999999998</v>
      </c>
      <c r="E20" s="59">
        <v>36.664090000000002</v>
      </c>
      <c r="F20" s="67">
        <f>+D20/F4</f>
        <v>3.6664099999999999</v>
      </c>
      <c r="G20" s="11">
        <f>3.7773+23.158</f>
        <v>26.935300000000002</v>
      </c>
      <c r="H20" s="59">
        <v>26.935320000000001</v>
      </c>
      <c r="I20" s="67">
        <f>+G20/I4</f>
        <v>2.69353</v>
      </c>
      <c r="J20" s="11">
        <f>4.5329+28.6551</f>
        <v>33.188000000000002</v>
      </c>
      <c r="K20" s="59">
        <v>33.188000000000002</v>
      </c>
      <c r="L20" s="67">
        <f>+J20/L4</f>
        <v>3.3188000000000004</v>
      </c>
      <c r="M20" s="11">
        <f>4.0179+26.1011</f>
        <v>30.119</v>
      </c>
      <c r="N20" s="59">
        <v>30.119</v>
      </c>
      <c r="O20" s="67">
        <f>+M20/O4</f>
        <v>3.0118999999999998</v>
      </c>
      <c r="P20" s="11">
        <f>4.2759+26.0784</f>
        <v>30.354299999999999</v>
      </c>
      <c r="Q20" s="59">
        <v>30.354289999999999</v>
      </c>
      <c r="R20" s="67">
        <f>+P20/R4</f>
        <v>3.0354299999999999</v>
      </c>
      <c r="S20" s="11">
        <f>7.1262+26.8737</f>
        <v>33.999899999999997</v>
      </c>
      <c r="T20" s="59">
        <v>33.999879999999997</v>
      </c>
      <c r="U20" s="67">
        <f>+S20/U4</f>
        <v>3.3999899999999998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191.26059999999998</v>
      </c>
      <c r="AQ20" s="67">
        <f t="shared" si="4"/>
        <v>191.26058</v>
      </c>
      <c r="AR20" s="67">
        <f>+AP20/AR4</f>
        <v>19.126059999999999</v>
      </c>
      <c r="AS20" s="14">
        <f t="shared" si="3"/>
        <v>31.876766666666665</v>
      </c>
      <c r="AT20" s="67">
        <f t="shared" si="3"/>
        <v>31.876763333333333</v>
      </c>
      <c r="AU20" s="67">
        <f>+AS20/AU4</f>
        <v>3.1876766666666665</v>
      </c>
    </row>
    <row r="21" spans="2:47">
      <c r="B21" s="18" t="s">
        <v>18</v>
      </c>
      <c r="C21" s="16"/>
      <c r="D21" s="44">
        <f t="shared" ref="D21:E21" si="5">+D20/D19*1000</f>
        <v>30.286141468209717</v>
      </c>
      <c r="E21" s="60">
        <f t="shared" si="5"/>
        <v>30.286133207774725</v>
      </c>
      <c r="F21" s="60"/>
      <c r="G21" s="44">
        <f t="shared" ref="G21:H21" si="6">+G20/G19*1000</f>
        <v>29.124280956706027</v>
      </c>
      <c r="H21" s="60">
        <f t="shared" si="6"/>
        <v>29.12430258206825</v>
      </c>
      <c r="I21" s="60"/>
      <c r="J21" s="44">
        <f t="shared" ref="J21:K21" si="7">+J20/J19*1000</f>
        <v>30.556476264132883</v>
      </c>
      <c r="K21" s="60">
        <f t="shared" si="7"/>
        <v>30.556476264132883</v>
      </c>
      <c r="L21" s="60"/>
      <c r="M21" s="44">
        <f t="shared" ref="M21:N21" si="8">+M20/M19*1000</f>
        <v>30.699528075915563</v>
      </c>
      <c r="N21" s="60">
        <f t="shared" si="8"/>
        <v>30.699528075915563</v>
      </c>
      <c r="O21" s="60"/>
      <c r="P21" s="44">
        <f t="shared" ref="P21:Q21" si="9">+P20/P19*1000</f>
        <v>31.259577360355909</v>
      </c>
      <c r="Q21" s="60">
        <f t="shared" si="9"/>
        <v>31.259567062118965</v>
      </c>
      <c r="R21" s="60"/>
      <c r="S21" s="44">
        <f t="shared" ref="S21:AC21" si="10">+S20/S19*1000</f>
        <v>31.358567831548655</v>
      </c>
      <c r="T21" s="60">
        <f t="shared" si="10"/>
        <v>31.358549385278032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30.563015447649452</v>
      </c>
      <c r="AQ21" s="68">
        <f>+AQ20/AQ19*1000</f>
        <v>30.563012251694257</v>
      </c>
      <c r="AR21" s="60"/>
      <c r="AS21" s="45">
        <f>+AS20/AS19*1000</f>
        <v>30.563015447649455</v>
      </c>
      <c r="AT21" s="68">
        <f>+AT20/AT19*1000</f>
        <v>30.563012251694261</v>
      </c>
      <c r="AU21" s="60"/>
    </row>
    <row r="22" spans="2:47">
      <c r="B22" s="18" t="s">
        <v>21</v>
      </c>
      <c r="C22" s="16"/>
      <c r="D22" s="46">
        <f>+D19/D18</f>
        <v>9.9473294987674599E-2</v>
      </c>
      <c r="E22" s="46">
        <f>+E19/E18</f>
        <v>9.9473294987674599E-2</v>
      </c>
      <c r="F22" s="61"/>
      <c r="G22" s="46">
        <f>+G19/G18</f>
        <v>9.1306150656530763E-2</v>
      </c>
      <c r="H22" s="46">
        <f>+H19/H18</f>
        <v>9.1306150656530763E-2</v>
      </c>
      <c r="I22" s="61"/>
      <c r="J22" s="46">
        <f>+J19/J18</f>
        <v>9.0964824120602999E-2</v>
      </c>
      <c r="K22" s="46">
        <f>+K19/K18</f>
        <v>9.0964824120602999E-2</v>
      </c>
      <c r="L22" s="61"/>
      <c r="M22" s="46">
        <f>+M19/M18</f>
        <v>8.5097580015612809E-2</v>
      </c>
      <c r="N22" s="46">
        <f>+N19/N18</f>
        <v>8.5097580015612809E-2</v>
      </c>
      <c r="O22" s="61"/>
      <c r="P22" s="46">
        <f>+P19/P18</f>
        <v>8.4881118881118878E-2</v>
      </c>
      <c r="Q22" s="46">
        <f>+Q19/Q18</f>
        <v>8.4881118881118878E-2</v>
      </c>
      <c r="R22" s="61"/>
      <c r="S22" s="46">
        <f>+S19/S18</f>
        <v>9.9626022236515663E-2</v>
      </c>
      <c r="T22" s="46">
        <f>+T19/T18</f>
        <v>9.9626022236515663E-2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9.1905097589989868E-2</v>
      </c>
      <c r="AQ22" s="47">
        <f>+AQ19/AQ18</f>
        <v>9.1905097589989868E-2</v>
      </c>
      <c r="AR22" s="61"/>
      <c r="AS22" s="47">
        <f>+AS19/AS18</f>
        <v>9.1905097589989854E-2</v>
      </c>
      <c r="AT22" s="47">
        <f>+AT19/AT18</f>
        <v>9.1905097589989854E-2</v>
      </c>
      <c r="AU22" s="61"/>
    </row>
    <row r="23" spans="2:47">
      <c r="B23" s="10" t="s">
        <v>28</v>
      </c>
      <c r="C23" s="10"/>
      <c r="D23" s="48">
        <f>+D20*1000/(D18*D21)*100</f>
        <v>9.9473294987674592</v>
      </c>
      <c r="E23" s="48">
        <f>+E20*1000/(E18*E21)*100</f>
        <v>9.947329498767461</v>
      </c>
      <c r="F23" s="62"/>
      <c r="G23" s="48">
        <f>+G20*1000/(G18*G21)*100</f>
        <v>9.1306150656530765</v>
      </c>
      <c r="H23" s="48">
        <f>+H20*1000/(H18*H21)*100</f>
        <v>9.1306150656530747</v>
      </c>
      <c r="I23" s="62"/>
      <c r="J23" s="48">
        <f>+J20*1000/(J18*J21)*100</f>
        <v>9.0964824120603005</v>
      </c>
      <c r="K23" s="48">
        <f>+K20*1000/(K18*K21)*100</f>
        <v>9.0964824120603005</v>
      </c>
      <c r="L23" s="62"/>
      <c r="M23" s="48">
        <f>+M20*1000/(M18*M21)*100</f>
        <v>8.5097580015612806</v>
      </c>
      <c r="N23" s="48">
        <f>+N20*1000/(N18*N21)*100</f>
        <v>8.5097580015612806</v>
      </c>
      <c r="O23" s="62"/>
      <c r="P23" s="48">
        <f>+P20*1000/(P18*P21)*100</f>
        <v>8.4881118881118862</v>
      </c>
      <c r="Q23" s="48">
        <f>+Q20*1000/(Q18*Q21)*100</f>
        <v>8.488111888111888</v>
      </c>
      <c r="R23" s="62"/>
      <c r="S23" s="48">
        <f>+S20*1000/(S18*S21)*100</f>
        <v>9.962602223651567</v>
      </c>
      <c r="T23" s="48">
        <f>+T20*1000/(T18*T21)*100</f>
        <v>9.9626022236515652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9.1905097589989868</v>
      </c>
      <c r="AQ23" s="49">
        <f>+AQ20/(AQ18*AQ21)*1000*100</f>
        <v>9.1905097589989868</v>
      </c>
      <c r="AR23" s="62"/>
      <c r="AS23" s="49">
        <f>+AS20/(AS18*AS21)*1000*100</f>
        <v>9.190509758998985</v>
      </c>
      <c r="AT23" s="49">
        <f>+AT20/(AT18*AT21)*1000*100</f>
        <v>9.190509758998985</v>
      </c>
    </row>
    <row r="24" spans="2:47">
      <c r="B24" s="18" t="s">
        <v>38</v>
      </c>
      <c r="C24" s="10"/>
      <c r="D24" s="48">
        <f>+D20/D18*1000</f>
        <v>3.0126622843056694</v>
      </c>
      <c r="E24" s="48">
        <f>+E20/E18*1000</f>
        <v>3.0126614626129831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48">
        <f>+J20/J18*1000</f>
        <v>2.7795644891122282</v>
      </c>
      <c r="K24" s="48">
        <f>+K20/K18*1000</f>
        <v>2.7795644891122282</v>
      </c>
      <c r="L24" s="62"/>
      <c r="M24" s="48">
        <f>+M20/M18*1000</f>
        <v>2.6124555468817765</v>
      </c>
      <c r="N24" s="48">
        <f>+N20/N18*1000</f>
        <v>2.6124555468817765</v>
      </c>
      <c r="O24" s="62"/>
      <c r="P24" s="48">
        <f>+P20/P18*1000</f>
        <v>2.6533479020979018</v>
      </c>
      <c r="Q24" s="48">
        <f>+Q20/Q18*1000</f>
        <v>2.6533470279720279</v>
      </c>
      <c r="R24" s="62"/>
      <c r="S24" s="48">
        <f>+S20/S18*1000</f>
        <v>3.124129376091151</v>
      </c>
      <c r="T24" s="48">
        <f>+T20/T18*1000</f>
        <v>3.1241275383625835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2.8088969173605909</v>
      </c>
      <c r="AQ24" s="48">
        <f>+AQ20/AQ18*1000</f>
        <v>2.8088966236360164</v>
      </c>
      <c r="AR24" s="62"/>
      <c r="AS24" s="48">
        <f>+AS20/AS18*1000</f>
        <v>2.8088969173605909</v>
      </c>
      <c r="AT24" s="48">
        <f>+AT20/AT18*1000</f>
        <v>2.8088966236360164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1288.9602300426563</v>
      </c>
      <c r="E26" s="63"/>
      <c r="F26" s="63"/>
      <c r="G26" s="21">
        <f>+G8/(1-G6/G5)</f>
        <v>1221.3535816126166</v>
      </c>
      <c r="H26" s="63"/>
      <c r="I26" s="63"/>
      <c r="J26" s="21">
        <f>+J8/(1-J6/J5)</f>
        <v>1261.0813713060222</v>
      </c>
      <c r="K26" s="63"/>
      <c r="L26" s="63"/>
      <c r="M26" s="21">
        <f>+M8/(1-M6/M5)</f>
        <v>1360.8351791060329</v>
      </c>
      <c r="N26" s="63"/>
      <c r="O26" s="63"/>
      <c r="P26" s="21">
        <f>+P8/(1-P6/P5)</f>
        <v>1363.6995114259219</v>
      </c>
      <c r="Q26" s="63"/>
      <c r="R26" s="63"/>
      <c r="S26" s="21">
        <f>+S8/(1-S6/S5)</f>
        <v>1511.3923399579185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8014.9323707196663</v>
      </c>
      <c r="AQ26" s="71"/>
      <c r="AR26" s="71"/>
      <c r="AS26" s="31">
        <f>+AS8/(1-AS6/AS5)</f>
        <v>1335.8220617866109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2014-12-09T07:22:27Z</cp:lastPrinted>
  <dcterms:created xsi:type="dcterms:W3CDTF">2014-10-14T11:21:48Z</dcterms:created>
  <dcterms:modified xsi:type="dcterms:W3CDTF">2015-08-04T12:12:57Z</dcterms:modified>
</cp:coreProperties>
</file>