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14040" windowHeight="10590"/>
  </bookViews>
  <sheets>
    <sheet name="CoY" sheetId="5" r:id="rId1"/>
    <sheet name="CoM" sheetId="6" r:id="rId2"/>
    <sheet name="2014" sheetId="7" r:id="rId3"/>
    <sheet name="2015" sheetId="1" r:id="rId4"/>
  </sheets>
  <definedNames>
    <definedName name="_xlnm.Print_Area" localSheetId="2">'2014'!$B$1:$AQ$26</definedName>
    <definedName name="_xlnm.Print_Area" localSheetId="3">'2015'!$B$1:$AQ$26</definedName>
    <definedName name="_xlnm.Print_Area" localSheetId="1">CoM!$A$1:$M$26</definedName>
    <definedName name="_xlnm.Print_Area" localSheetId="0">CoY!$A$1:$M$26</definedName>
  </definedNames>
  <calcPr calcId="125725"/>
</workbook>
</file>

<file path=xl/calcChain.xml><?xml version="1.0" encoding="utf-8"?>
<calcChain xmlns="http://schemas.openxmlformats.org/spreadsheetml/2006/main">
  <c r="Y20" i="1"/>
  <c r="Y6"/>
  <c r="Y8" i="7"/>
  <c r="Y6"/>
  <c r="H20" i="6"/>
  <c r="H19"/>
  <c r="H18"/>
  <c r="G20"/>
  <c r="G19"/>
  <c r="G18"/>
  <c r="G12"/>
  <c r="G11"/>
  <c r="G8"/>
  <c r="G6"/>
  <c r="G5"/>
  <c r="E20"/>
  <c r="E19"/>
  <c r="E18"/>
  <c r="D20"/>
  <c r="D19"/>
  <c r="D18"/>
  <c r="D12"/>
  <c r="D11"/>
  <c r="D8"/>
  <c r="D6"/>
  <c r="D5"/>
  <c r="V20" i="1" l="1"/>
  <c r="V6"/>
  <c r="V20" i="7"/>
  <c r="V12"/>
  <c r="V8"/>
  <c r="V6"/>
  <c r="S20" i="1" l="1"/>
  <c r="S6"/>
  <c r="S5"/>
  <c r="S8" i="7"/>
  <c r="S5"/>
  <c r="F4" i="6" l="1"/>
  <c r="P12" i="7"/>
  <c r="P8"/>
  <c r="P6"/>
  <c r="P5"/>
  <c r="P20"/>
  <c r="P8" i="1"/>
  <c r="P20"/>
  <c r="P6"/>
  <c r="P5"/>
  <c r="N18" i="7" l="1"/>
  <c r="M18"/>
  <c r="N19"/>
  <c r="M19"/>
  <c r="M20"/>
  <c r="M12"/>
  <c r="M8"/>
  <c r="M6"/>
  <c r="M20" i="1"/>
  <c r="M6"/>
  <c r="J8" i="7" l="1"/>
  <c r="J6"/>
  <c r="J20" i="1"/>
  <c r="J6"/>
  <c r="AP11" i="7" l="1"/>
  <c r="AP11" i="1" l="1"/>
  <c r="AS11" s="1"/>
  <c r="AS11" i="7"/>
  <c r="G12"/>
  <c r="G8"/>
  <c r="H8" s="1"/>
  <c r="G6"/>
  <c r="H6" s="1"/>
  <c r="E9"/>
  <c r="E8"/>
  <c r="E7"/>
  <c r="E6"/>
  <c r="E5"/>
  <c r="H5"/>
  <c r="K8"/>
  <c r="K6"/>
  <c r="K5"/>
  <c r="N8"/>
  <c r="N6"/>
  <c r="N5"/>
  <c r="Q8"/>
  <c r="Q6"/>
  <c r="Q5"/>
  <c r="T8"/>
  <c r="T6"/>
  <c r="T5"/>
  <c r="G20" i="1"/>
  <c r="E9"/>
  <c r="E8"/>
  <c r="E7"/>
  <c r="E6"/>
  <c r="E5"/>
  <c r="H9"/>
  <c r="H8"/>
  <c r="H7"/>
  <c r="H6"/>
  <c r="H5"/>
  <c r="K8"/>
  <c r="K6"/>
  <c r="K5"/>
  <c r="N8"/>
  <c r="N6"/>
  <c r="N5"/>
  <c r="Q8"/>
  <c r="Q6"/>
  <c r="Q5"/>
  <c r="T8"/>
  <c r="T6"/>
  <c r="T5"/>
  <c r="G6"/>
  <c r="D20"/>
  <c r="D15"/>
  <c r="D14"/>
  <c r="D13"/>
  <c r="D7"/>
  <c r="D16" s="1"/>
  <c r="D6"/>
  <c r="D9" s="1"/>
  <c r="I4" i="6" l="1"/>
  <c r="AK26" i="7"/>
  <c r="AH26"/>
  <c r="AE26"/>
  <c r="AB26"/>
  <c r="Y26"/>
  <c r="V26"/>
  <c r="S26"/>
  <c r="P26"/>
  <c r="M26"/>
  <c r="J26"/>
  <c r="G26"/>
  <c r="D26"/>
  <c r="AL24"/>
  <c r="AK24"/>
  <c r="AI24"/>
  <c r="AH24"/>
  <c r="AF24"/>
  <c r="AE24"/>
  <c r="AC24"/>
  <c r="AB24"/>
  <c r="Z24"/>
  <c r="Y24"/>
  <c r="W24"/>
  <c r="V24"/>
  <c r="T24"/>
  <c r="S24"/>
  <c r="Q24"/>
  <c r="P24"/>
  <c r="N24"/>
  <c r="M24"/>
  <c r="K24"/>
  <c r="J24"/>
  <c r="H24"/>
  <c r="G24"/>
  <c r="E24"/>
  <c r="D24"/>
  <c r="AL22"/>
  <c r="AK22"/>
  <c r="AI22"/>
  <c r="AH22"/>
  <c r="AF22"/>
  <c r="AE22"/>
  <c r="AC22"/>
  <c r="AB22"/>
  <c r="Z22"/>
  <c r="Y22"/>
  <c r="W22"/>
  <c r="V22"/>
  <c r="T22"/>
  <c r="S22"/>
  <c r="Q22"/>
  <c r="P22"/>
  <c r="N22"/>
  <c r="M22"/>
  <c r="K22"/>
  <c r="J22"/>
  <c r="H22"/>
  <c r="G22"/>
  <c r="E22"/>
  <c r="D22"/>
  <c r="AL21"/>
  <c r="AL23" s="1"/>
  <c r="AK21"/>
  <c r="AK23" s="1"/>
  <c r="AI21"/>
  <c r="AI23" s="1"/>
  <c r="AH21"/>
  <c r="AH23" s="1"/>
  <c r="AF21"/>
  <c r="AF23" s="1"/>
  <c r="AE21"/>
  <c r="AE23" s="1"/>
  <c r="AC21"/>
  <c r="AC23" s="1"/>
  <c r="AB21"/>
  <c r="AB23" s="1"/>
  <c r="Z21"/>
  <c r="Z23" s="1"/>
  <c r="Y21"/>
  <c r="Y23" s="1"/>
  <c r="W21"/>
  <c r="W23" s="1"/>
  <c r="V21"/>
  <c r="V23" s="1"/>
  <c r="T21"/>
  <c r="T23" s="1"/>
  <c r="S21"/>
  <c r="S23" s="1"/>
  <c r="Q21"/>
  <c r="Q23" s="1"/>
  <c r="P21"/>
  <c r="P23" s="1"/>
  <c r="N21"/>
  <c r="N23" s="1"/>
  <c r="M21"/>
  <c r="M23" s="1"/>
  <c r="K21"/>
  <c r="K23" s="1"/>
  <c r="J21"/>
  <c r="J23" s="1"/>
  <c r="H21"/>
  <c r="H23" s="1"/>
  <c r="G21"/>
  <c r="G23" s="1"/>
  <c r="E21"/>
  <c r="E23" s="1"/>
  <c r="D21"/>
  <c r="D23" s="1"/>
  <c r="AQ20"/>
  <c r="AT20" s="1"/>
  <c r="AP20"/>
  <c r="AM20"/>
  <c r="AJ20"/>
  <c r="AG20"/>
  <c r="AD20"/>
  <c r="AA20"/>
  <c r="X20"/>
  <c r="U20"/>
  <c r="R20"/>
  <c r="O20"/>
  <c r="L20"/>
  <c r="I20"/>
  <c r="F20"/>
  <c r="AQ19"/>
  <c r="AT19" s="1"/>
  <c r="AP19"/>
  <c r="D19" i="5" s="1"/>
  <c r="AM19" i="7"/>
  <c r="AJ19"/>
  <c r="AG19"/>
  <c r="AD19"/>
  <c r="AA19"/>
  <c r="X19"/>
  <c r="U19"/>
  <c r="R19"/>
  <c r="O19"/>
  <c r="L19"/>
  <c r="I19"/>
  <c r="F19"/>
  <c r="AQ18"/>
  <c r="AT18" s="1"/>
  <c r="AP18"/>
  <c r="AM18"/>
  <c r="AJ18"/>
  <c r="AG18"/>
  <c r="AD18"/>
  <c r="AA18"/>
  <c r="X18"/>
  <c r="U18"/>
  <c r="R18"/>
  <c r="O18"/>
  <c r="L18"/>
  <c r="I18"/>
  <c r="F18"/>
  <c r="AK15"/>
  <c r="AH15"/>
  <c r="AE15"/>
  <c r="AB15"/>
  <c r="Y15"/>
  <c r="V15"/>
  <c r="S15"/>
  <c r="P15"/>
  <c r="M15"/>
  <c r="J15"/>
  <c r="G15"/>
  <c r="D15"/>
  <c r="AK14"/>
  <c r="AH14"/>
  <c r="AE14"/>
  <c r="AB14"/>
  <c r="Y14"/>
  <c r="V14"/>
  <c r="S14"/>
  <c r="P14"/>
  <c r="M14"/>
  <c r="J14"/>
  <c r="G14"/>
  <c r="D14"/>
  <c r="AK13"/>
  <c r="AH13"/>
  <c r="AE13"/>
  <c r="AB13"/>
  <c r="Y13"/>
  <c r="V13"/>
  <c r="S13"/>
  <c r="P13"/>
  <c r="M13"/>
  <c r="J13"/>
  <c r="G13"/>
  <c r="D13"/>
  <c r="AP12"/>
  <c r="D12" i="5" s="1"/>
  <c r="AM12" i="7"/>
  <c r="AJ12"/>
  <c r="AG12"/>
  <c r="AD12"/>
  <c r="AA12"/>
  <c r="X12"/>
  <c r="U12"/>
  <c r="R12"/>
  <c r="O12"/>
  <c r="L12"/>
  <c r="I12"/>
  <c r="F12"/>
  <c r="AM11"/>
  <c r="AJ11"/>
  <c r="AG11"/>
  <c r="AD11"/>
  <c r="AA11"/>
  <c r="X11"/>
  <c r="U11"/>
  <c r="R11"/>
  <c r="O11"/>
  <c r="L11"/>
  <c r="I11"/>
  <c r="F11"/>
  <c r="AK9"/>
  <c r="AL9" s="1"/>
  <c r="AI9"/>
  <c r="AH9"/>
  <c r="AE9"/>
  <c r="AF9" s="1"/>
  <c r="AC9"/>
  <c r="AB9"/>
  <c r="Y9"/>
  <c r="Z9" s="1"/>
  <c r="V9"/>
  <c r="W9" s="1"/>
  <c r="S9"/>
  <c r="T9" s="1"/>
  <c r="P9"/>
  <c r="Q9" s="1"/>
  <c r="M9"/>
  <c r="N9" s="1"/>
  <c r="J9"/>
  <c r="K9" s="1"/>
  <c r="G9"/>
  <c r="H9" s="1"/>
  <c r="D9"/>
  <c r="AP8"/>
  <c r="D8" i="5" s="1"/>
  <c r="AM8" i="7"/>
  <c r="AL8"/>
  <c r="AJ8"/>
  <c r="AI8"/>
  <c r="AG8"/>
  <c r="AF8"/>
  <c r="AD8"/>
  <c r="AC8"/>
  <c r="AA8"/>
  <c r="Z8"/>
  <c r="X8"/>
  <c r="W8"/>
  <c r="U8"/>
  <c r="R8"/>
  <c r="O8"/>
  <c r="L8"/>
  <c r="I8"/>
  <c r="F8"/>
  <c r="AK7"/>
  <c r="AK16" s="1"/>
  <c r="AI7"/>
  <c r="AH7"/>
  <c r="AH16" s="1"/>
  <c r="AE7"/>
  <c r="AE16" s="1"/>
  <c r="AC7"/>
  <c r="AB7"/>
  <c r="AB16" s="1"/>
  <c r="Y7"/>
  <c r="V7"/>
  <c r="S7"/>
  <c r="P7"/>
  <c r="M7"/>
  <c r="J7"/>
  <c r="G7"/>
  <c r="D7"/>
  <c r="D16" s="1"/>
  <c r="AP6"/>
  <c r="AM6"/>
  <c r="AL6"/>
  <c r="AJ6"/>
  <c r="AI6"/>
  <c r="AG6"/>
  <c r="AF6"/>
  <c r="AD6"/>
  <c r="AC6"/>
  <c r="AA6"/>
  <c r="Z6"/>
  <c r="X6"/>
  <c r="W6"/>
  <c r="U6"/>
  <c r="R6"/>
  <c r="O6"/>
  <c r="L6"/>
  <c r="I6"/>
  <c r="F6"/>
  <c r="AP5"/>
  <c r="AP14" s="1"/>
  <c r="AM5"/>
  <c r="AM9" s="1"/>
  <c r="AL5"/>
  <c r="AJ5"/>
  <c r="AJ9" s="1"/>
  <c r="AI5"/>
  <c r="AG5"/>
  <c r="AG9" s="1"/>
  <c r="AF5"/>
  <c r="AD5"/>
  <c r="AD9" s="1"/>
  <c r="AC5"/>
  <c r="AA5"/>
  <c r="AA9" s="1"/>
  <c r="Z5"/>
  <c r="X5"/>
  <c r="X9" s="1"/>
  <c r="W5"/>
  <c r="U5"/>
  <c r="R5"/>
  <c r="O5"/>
  <c r="L5"/>
  <c r="I5"/>
  <c r="F5"/>
  <c r="F9" s="1"/>
  <c r="AR4"/>
  <c r="AU4" s="1"/>
  <c r="AK9" i="1"/>
  <c r="AK7"/>
  <c r="AH9"/>
  <c r="AH7"/>
  <c r="AE9"/>
  <c r="AE7"/>
  <c r="AB9"/>
  <c r="AB7"/>
  <c r="Y9"/>
  <c r="Y7"/>
  <c r="G7" i="6" s="1"/>
  <c r="V9" i="1"/>
  <c r="V7"/>
  <c r="S9"/>
  <c r="T9" s="1"/>
  <c r="S7"/>
  <c r="P9"/>
  <c r="Q9" s="1"/>
  <c r="P7"/>
  <c r="M9"/>
  <c r="N9" s="1"/>
  <c r="M7"/>
  <c r="J9"/>
  <c r="K9" s="1"/>
  <c r="J7"/>
  <c r="AQ20"/>
  <c r="AQ19"/>
  <c r="AQ18"/>
  <c r="AP20"/>
  <c r="AP19"/>
  <c r="AP18"/>
  <c r="AP12"/>
  <c r="AR4"/>
  <c r="AP8"/>
  <c r="AP6"/>
  <c r="AP5"/>
  <c r="G9"/>
  <c r="G7"/>
  <c r="E24"/>
  <c r="D24"/>
  <c r="E22"/>
  <c r="D22"/>
  <c r="E21"/>
  <c r="E23" s="1"/>
  <c r="D21"/>
  <c r="D23" s="1"/>
  <c r="F20"/>
  <c r="F19"/>
  <c r="F18"/>
  <c r="F12"/>
  <c r="F11"/>
  <c r="F8"/>
  <c r="F6"/>
  <c r="F5"/>
  <c r="F9" s="1"/>
  <c r="H24"/>
  <c r="G24"/>
  <c r="H22"/>
  <c r="G22"/>
  <c r="H21"/>
  <c r="H23" s="1"/>
  <c r="G21"/>
  <c r="G23" s="1"/>
  <c r="I20"/>
  <c r="I19"/>
  <c r="I18"/>
  <c r="G15"/>
  <c r="G14"/>
  <c r="G13"/>
  <c r="I12"/>
  <c r="I11"/>
  <c r="I8"/>
  <c r="I6"/>
  <c r="I5"/>
  <c r="I9" s="1"/>
  <c r="K24"/>
  <c r="J24"/>
  <c r="K22"/>
  <c r="J22"/>
  <c r="K21"/>
  <c r="K23" s="1"/>
  <c r="J21"/>
  <c r="J23" s="1"/>
  <c r="L20"/>
  <c r="L19"/>
  <c r="L18"/>
  <c r="J15"/>
  <c r="J14"/>
  <c r="J13"/>
  <c r="L12"/>
  <c r="L11"/>
  <c r="L8"/>
  <c r="L6"/>
  <c r="L5"/>
  <c r="N24"/>
  <c r="M24"/>
  <c r="N22"/>
  <c r="M22"/>
  <c r="N21"/>
  <c r="N23" s="1"/>
  <c r="M21"/>
  <c r="M23" s="1"/>
  <c r="O20"/>
  <c r="O19"/>
  <c r="O18"/>
  <c r="M15"/>
  <c r="M14"/>
  <c r="M13"/>
  <c r="O12"/>
  <c r="O11"/>
  <c r="O8"/>
  <c r="O6"/>
  <c r="O5"/>
  <c r="Q24"/>
  <c r="P24"/>
  <c r="Q22"/>
  <c r="P22"/>
  <c r="Q21"/>
  <c r="Q23" s="1"/>
  <c r="P21"/>
  <c r="P23" s="1"/>
  <c r="R20"/>
  <c r="R19"/>
  <c r="R18"/>
  <c r="P15"/>
  <c r="P14"/>
  <c r="P13"/>
  <c r="R12"/>
  <c r="R11"/>
  <c r="R8"/>
  <c r="R6"/>
  <c r="R5"/>
  <c r="W24"/>
  <c r="V24"/>
  <c r="W22"/>
  <c r="V22"/>
  <c r="W21"/>
  <c r="W23" s="1"/>
  <c r="V21"/>
  <c r="V23" s="1"/>
  <c r="X20"/>
  <c r="X19"/>
  <c r="X18"/>
  <c r="V15"/>
  <c r="V14"/>
  <c r="V13"/>
  <c r="X12"/>
  <c r="X11"/>
  <c r="W8"/>
  <c r="X8"/>
  <c r="W7"/>
  <c r="X6"/>
  <c r="W6"/>
  <c r="X5"/>
  <c r="X7" s="1"/>
  <c r="W5"/>
  <c r="Z24"/>
  <c r="Y24"/>
  <c r="Z22"/>
  <c r="Y22"/>
  <c r="Z21"/>
  <c r="Z23" s="1"/>
  <c r="Y21"/>
  <c r="Y23" s="1"/>
  <c r="Y15"/>
  <c r="Y14"/>
  <c r="Y13"/>
  <c r="Z8"/>
  <c r="Y16"/>
  <c r="Z6"/>
  <c r="Z5"/>
  <c r="AC6"/>
  <c r="AC5"/>
  <c r="Y16" i="7" l="1"/>
  <c r="D7" i="6"/>
  <c r="V16" i="7"/>
  <c r="W7"/>
  <c r="T7" i="1"/>
  <c r="U9" i="7"/>
  <c r="S16"/>
  <c r="T7"/>
  <c r="R9"/>
  <c r="P16"/>
  <c r="Q7"/>
  <c r="AP9" i="1"/>
  <c r="Q7"/>
  <c r="AP7"/>
  <c r="R7"/>
  <c r="O9" i="7"/>
  <c r="M16"/>
  <c r="N7"/>
  <c r="O7" i="1"/>
  <c r="N7"/>
  <c r="L9" i="7"/>
  <c r="J16"/>
  <c r="K7"/>
  <c r="L7" i="1"/>
  <c r="K7"/>
  <c r="I9" i="7"/>
  <c r="G16"/>
  <c r="H7"/>
  <c r="F4" i="5"/>
  <c r="AR6" i="7"/>
  <c r="AR18"/>
  <c r="E20" i="5"/>
  <c r="E19"/>
  <c r="E18"/>
  <c r="AP22" i="7"/>
  <c r="AP24"/>
  <c r="D18" i="5"/>
  <c r="D20"/>
  <c r="D11"/>
  <c r="D6"/>
  <c r="AP26" i="7"/>
  <c r="AP9"/>
  <c r="AQ9" s="1"/>
  <c r="D5" i="5"/>
  <c r="AT24" i="7"/>
  <c r="AT21"/>
  <c r="AT23" s="1"/>
  <c r="AT22"/>
  <c r="AU11"/>
  <c r="AR5"/>
  <c r="AQ6"/>
  <c r="AS6"/>
  <c r="AU6" s="1"/>
  <c r="F7"/>
  <c r="L7"/>
  <c r="R7"/>
  <c r="X7"/>
  <c r="Z7"/>
  <c r="AD7"/>
  <c r="AF7"/>
  <c r="AJ7"/>
  <c r="AL7"/>
  <c r="AP7"/>
  <c r="AQ8"/>
  <c r="AS8"/>
  <c r="AR11"/>
  <c r="AR12"/>
  <c r="AS18"/>
  <c r="AU18" s="1"/>
  <c r="AS19"/>
  <c r="AS20"/>
  <c r="AQ21"/>
  <c r="AQ23" s="1"/>
  <c r="AQ22"/>
  <c r="AQ24"/>
  <c r="AQ5"/>
  <c r="AS5"/>
  <c r="I7"/>
  <c r="O7"/>
  <c r="U7"/>
  <c r="AA7"/>
  <c r="AG7"/>
  <c r="AM7"/>
  <c r="AR8"/>
  <c r="AS12"/>
  <c r="AP13"/>
  <c r="AP15"/>
  <c r="AR19"/>
  <c r="AR20"/>
  <c r="AP21"/>
  <c r="AP23" s="1"/>
  <c r="I7" i="1"/>
  <c r="F7"/>
  <c r="D26"/>
  <c r="G16"/>
  <c r="G26"/>
  <c r="W9"/>
  <c r="L9"/>
  <c r="J16"/>
  <c r="J26"/>
  <c r="O9"/>
  <c r="M16"/>
  <c r="M26"/>
  <c r="R9"/>
  <c r="P16"/>
  <c r="P26"/>
  <c r="X9"/>
  <c r="V16"/>
  <c r="V26"/>
  <c r="Y26"/>
  <c r="Z9"/>
  <c r="Z7"/>
  <c r="AS9" i="7" l="1"/>
  <c r="AS15"/>
  <c r="AS13"/>
  <c r="AU12"/>
  <c r="AS22"/>
  <c r="AU19"/>
  <c r="AR9"/>
  <c r="AR7"/>
  <c r="AS14"/>
  <c r="AU5"/>
  <c r="AS24"/>
  <c r="AS21"/>
  <c r="AS23" s="1"/>
  <c r="AU20"/>
  <c r="AU8"/>
  <c r="AS26"/>
  <c r="AS7"/>
  <c r="AS16" s="1"/>
  <c r="AQ7"/>
  <c r="AP16"/>
  <c r="AU9" l="1"/>
  <c r="AU7"/>
  <c r="AL24" i="1"/>
  <c r="AL22"/>
  <c r="AL21"/>
  <c r="AL23" s="1"/>
  <c r="AK24" l="1"/>
  <c r="AK22"/>
  <c r="AK21"/>
  <c r="AK23" s="1"/>
  <c r="AM20"/>
  <c r="AM19"/>
  <c r="AM18"/>
  <c r="AM12" l="1"/>
  <c r="AM11"/>
  <c r="AL5"/>
  <c r="AM5"/>
  <c r="AK15"/>
  <c r="AK14"/>
  <c r="AK13"/>
  <c r="AM6" l="1"/>
  <c r="AL6"/>
  <c r="AM7"/>
  <c r="AL9" l="1"/>
  <c r="AK26"/>
  <c r="AL8"/>
  <c r="AM8"/>
  <c r="AM9" s="1"/>
  <c r="AL7"/>
  <c r="AK16"/>
  <c r="AJ6" l="1"/>
  <c r="AI8"/>
  <c r="AI6"/>
  <c r="AI5"/>
  <c r="AI24"/>
  <c r="AH24"/>
  <c r="AI22"/>
  <c r="AH22"/>
  <c r="AI21"/>
  <c r="AI23" s="1"/>
  <c r="AH21"/>
  <c r="AH23" s="1"/>
  <c r="AJ20"/>
  <c r="AJ19"/>
  <c r="AJ18"/>
  <c r="AH15"/>
  <c r="AH14"/>
  <c r="AH13"/>
  <c r="AJ12"/>
  <c r="AJ11"/>
  <c r="AI9"/>
  <c r="AJ8"/>
  <c r="AI7"/>
  <c r="AJ5"/>
  <c r="AJ9" l="1"/>
  <c r="AJ7"/>
  <c r="AH16"/>
  <c r="AH26"/>
  <c r="AF24" l="1"/>
  <c r="AE24"/>
  <c r="AF22"/>
  <c r="AE22"/>
  <c r="AF21"/>
  <c r="AF23" s="1"/>
  <c r="AE21"/>
  <c r="AE23" s="1"/>
  <c r="AG20"/>
  <c r="AG19"/>
  <c r="AG18"/>
  <c r="AE15"/>
  <c r="AE14"/>
  <c r="AE13"/>
  <c r="AG12"/>
  <c r="AG11"/>
  <c r="AG8"/>
  <c r="AF7"/>
  <c r="AG6"/>
  <c r="AF6"/>
  <c r="AG5"/>
  <c r="AG9" s="1"/>
  <c r="AF5"/>
  <c r="AG7" l="1"/>
  <c r="AF8"/>
  <c r="AF9"/>
  <c r="AE16"/>
  <c r="AE26"/>
  <c r="AD20" l="1"/>
  <c r="AD19"/>
  <c r="AD18"/>
  <c r="AA20"/>
  <c r="AA19"/>
  <c r="AA18"/>
  <c r="U20"/>
  <c r="U19"/>
  <c r="U18"/>
  <c r="AC22"/>
  <c r="AD12"/>
  <c r="AD11"/>
  <c r="AD6"/>
  <c r="AD5"/>
  <c r="AA12"/>
  <c r="AA11"/>
  <c r="AA8"/>
  <c r="AA6"/>
  <c r="AA5"/>
  <c r="AA9" s="1"/>
  <c r="T22"/>
  <c r="AC24"/>
  <c r="AB24"/>
  <c r="T24"/>
  <c r="S24"/>
  <c r="U12"/>
  <c r="U11"/>
  <c r="U6"/>
  <c r="U5"/>
  <c r="I4" i="5" l="1"/>
  <c r="AU4" i="1"/>
  <c r="AD7"/>
  <c r="AA7"/>
  <c r="U7"/>
  <c r="U8" l="1"/>
  <c r="U9" s="1"/>
  <c r="AC8" l="1"/>
  <c r="AD8"/>
  <c r="AD9" s="1"/>
  <c r="I19" i="6"/>
  <c r="I18"/>
  <c r="I12"/>
  <c r="I11"/>
  <c r="I8"/>
  <c r="I6"/>
  <c r="I5"/>
  <c r="F19"/>
  <c r="F18"/>
  <c r="F11"/>
  <c r="F12"/>
  <c r="F8"/>
  <c r="F6"/>
  <c r="F5"/>
  <c r="G11" i="5"/>
  <c r="AB22" i="1"/>
  <c r="AC21"/>
  <c r="AC23" s="1"/>
  <c r="AB15"/>
  <c r="AB14"/>
  <c r="AB13"/>
  <c r="AC9"/>
  <c r="H18" i="5"/>
  <c r="G19"/>
  <c r="G18"/>
  <c r="G12"/>
  <c r="G5"/>
  <c r="T21" i="1"/>
  <c r="T23" s="1"/>
  <c r="S21"/>
  <c r="AR6" l="1"/>
  <c r="G6" i="5"/>
  <c r="AR8" i="1"/>
  <c r="G8" i="5"/>
  <c r="F11"/>
  <c r="F12"/>
  <c r="F8"/>
  <c r="D24" i="6"/>
  <c r="F20"/>
  <c r="L5"/>
  <c r="I7"/>
  <c r="I9"/>
  <c r="H24"/>
  <c r="E22"/>
  <c r="L8"/>
  <c r="L12"/>
  <c r="L19"/>
  <c r="F20" i="5"/>
  <c r="F9" i="6"/>
  <c r="F7"/>
  <c r="E24"/>
  <c r="G24"/>
  <c r="I20"/>
  <c r="L20" s="1"/>
  <c r="L6"/>
  <c r="L11"/>
  <c r="L18"/>
  <c r="H22"/>
  <c r="I12" i="5"/>
  <c r="L12" s="1"/>
  <c r="AR12" i="1"/>
  <c r="I19" i="5"/>
  <c r="AR19" i="1"/>
  <c r="AQ22"/>
  <c r="I5" i="5"/>
  <c r="AR5" i="1"/>
  <c r="AS18"/>
  <c r="AU18" s="1"/>
  <c r="AR18"/>
  <c r="H20" i="5"/>
  <c r="AQ24" i="1"/>
  <c r="AU11"/>
  <c r="AR11"/>
  <c r="E7" i="6"/>
  <c r="E21" i="5"/>
  <c r="AB26" i="1"/>
  <c r="AB21"/>
  <c r="AB23" s="1"/>
  <c r="AC7"/>
  <c r="D15" i="5"/>
  <c r="F18"/>
  <c r="F6"/>
  <c r="D14" i="6"/>
  <c r="J18"/>
  <c r="E6"/>
  <c r="D22"/>
  <c r="AQ21" i="1"/>
  <c r="AQ23" s="1"/>
  <c r="AS6"/>
  <c r="AU6" s="1"/>
  <c r="AQ6"/>
  <c r="I6" i="5"/>
  <c r="AS8" i="1"/>
  <c r="AU8" s="1"/>
  <c r="AP26"/>
  <c r="AQ8"/>
  <c r="I8" i="5"/>
  <c r="K12"/>
  <c r="AQ5" i="1"/>
  <c r="AP13"/>
  <c r="AP15"/>
  <c r="G20" i="5"/>
  <c r="AP22" i="1"/>
  <c r="AS5"/>
  <c r="AS12"/>
  <c r="AU12" s="1"/>
  <c r="AS19"/>
  <c r="AT19"/>
  <c r="H19" i="5"/>
  <c r="H22" s="1"/>
  <c r="AP14" i="1"/>
  <c r="AT18"/>
  <c r="AT20"/>
  <c r="H21" i="6"/>
  <c r="H23" s="1"/>
  <c r="E21"/>
  <c r="E23" s="1"/>
  <c r="J19"/>
  <c r="J11"/>
  <c r="D26"/>
  <c r="E5"/>
  <c r="E8"/>
  <c r="K11"/>
  <c r="K18"/>
  <c r="K19"/>
  <c r="G22"/>
  <c r="D9"/>
  <c r="E9" s="1"/>
  <c r="D13"/>
  <c r="D15"/>
  <c r="D21"/>
  <c r="H5" i="5"/>
  <c r="S23" i="1"/>
  <c r="S22"/>
  <c r="G21" i="6"/>
  <c r="G23" s="1"/>
  <c r="J12"/>
  <c r="S15" i="1"/>
  <c r="S14"/>
  <c r="S13"/>
  <c r="K5" i="6"/>
  <c r="S26" i="1"/>
  <c r="L8" i="5" l="1"/>
  <c r="E23"/>
  <c r="L6"/>
  <c r="G13"/>
  <c r="H21"/>
  <c r="L21" s="1"/>
  <c r="J12"/>
  <c r="J24" i="6"/>
  <c r="K24"/>
  <c r="L9"/>
  <c r="E24" i="5"/>
  <c r="D24"/>
  <c r="E22"/>
  <c r="L7" i="6"/>
  <c r="AP24" i="1"/>
  <c r="AR20"/>
  <c r="AR7"/>
  <c r="AR9"/>
  <c r="H24" i="5"/>
  <c r="H23"/>
  <c r="AS22" i="1"/>
  <c r="AU19"/>
  <c r="AS14"/>
  <c r="AU5"/>
  <c r="AT24"/>
  <c r="AT22"/>
  <c r="G22" i="5"/>
  <c r="I18"/>
  <c r="L18" s="1"/>
  <c r="D13"/>
  <c r="J13" s="1"/>
  <c r="F5"/>
  <c r="K19"/>
  <c r="F19"/>
  <c r="L19" s="1"/>
  <c r="G15"/>
  <c r="K15" s="1"/>
  <c r="I11"/>
  <c r="L11" s="1"/>
  <c r="I7"/>
  <c r="I9"/>
  <c r="E6"/>
  <c r="K11"/>
  <c r="G14"/>
  <c r="J11"/>
  <c r="D7"/>
  <c r="D16" s="1"/>
  <c r="E8"/>
  <c r="J5"/>
  <c r="K5"/>
  <c r="D22"/>
  <c r="J22" s="1"/>
  <c r="J19"/>
  <c r="AB16" i="1"/>
  <c r="K6" i="5"/>
  <c r="D21"/>
  <c r="D23" s="1"/>
  <c r="D9"/>
  <c r="E9" s="1"/>
  <c r="D26"/>
  <c r="D14"/>
  <c r="E5"/>
  <c r="K20" i="6"/>
  <c r="L21"/>
  <c r="AT21" i="1"/>
  <c r="AT23" s="1"/>
  <c r="G7" i="5"/>
  <c r="K18"/>
  <c r="J18"/>
  <c r="AS20" i="1"/>
  <c r="AP21"/>
  <c r="AP23" s="1"/>
  <c r="K8" i="5"/>
  <c r="J8"/>
  <c r="J8" i="6"/>
  <c r="J15" i="5"/>
  <c r="K22"/>
  <c r="K13"/>
  <c r="M21"/>
  <c r="AS15" i="1"/>
  <c r="AS13"/>
  <c r="J21" i="6"/>
  <c r="G14"/>
  <c r="J14" s="1"/>
  <c r="K12"/>
  <c r="K8"/>
  <c r="H5"/>
  <c r="J20"/>
  <c r="J5"/>
  <c r="G15"/>
  <c r="J15" s="1"/>
  <c r="G13"/>
  <c r="K13" s="1"/>
  <c r="H8"/>
  <c r="AS26" i="1"/>
  <c r="G9" i="5"/>
  <c r="M21" i="6"/>
  <c r="J22"/>
  <c r="K22"/>
  <c r="D23"/>
  <c r="K23" s="1"/>
  <c r="K21"/>
  <c r="D16"/>
  <c r="H6" i="5"/>
  <c r="J6"/>
  <c r="E7"/>
  <c r="G26"/>
  <c r="H8"/>
  <c r="I20" l="1"/>
  <c r="L20" s="1"/>
  <c r="G24"/>
  <c r="AS21" i="1"/>
  <c r="AS23" s="1"/>
  <c r="AS24"/>
  <c r="AU20"/>
  <c r="AU9"/>
  <c r="AU7"/>
  <c r="F7" i="5"/>
  <c r="L7" s="1"/>
  <c r="F9"/>
  <c r="L9" s="1"/>
  <c r="L5"/>
  <c r="K7"/>
  <c r="K14"/>
  <c r="K14" i="6"/>
  <c r="K15"/>
  <c r="J7" i="5"/>
  <c r="J13" i="6"/>
  <c r="J23"/>
  <c r="J14" i="5"/>
  <c r="AS7" i="1"/>
  <c r="AS16" s="1"/>
  <c r="AQ7"/>
  <c r="AP16"/>
  <c r="K20" i="5"/>
  <c r="G21"/>
  <c r="G23" s="1"/>
  <c r="J20"/>
  <c r="AS9" i="1"/>
  <c r="AQ9"/>
  <c r="K26" i="5"/>
  <c r="J26"/>
  <c r="K9"/>
  <c r="J9"/>
  <c r="H9"/>
  <c r="H7"/>
  <c r="G16"/>
  <c r="S16" i="1"/>
  <c r="J24" i="5" l="1"/>
  <c r="K24"/>
  <c r="K23"/>
  <c r="J23"/>
  <c r="K21"/>
  <c r="J21"/>
  <c r="G16" i="6"/>
  <c r="K7"/>
  <c r="J7"/>
  <c r="H7"/>
  <c r="K16" i="5"/>
  <c r="J16"/>
  <c r="J6" i="6"/>
  <c r="K6"/>
  <c r="H6"/>
  <c r="G9"/>
  <c r="G26"/>
  <c r="K16" l="1"/>
  <c r="J16"/>
  <c r="J26"/>
  <c r="K26"/>
  <c r="H9"/>
  <c r="J9"/>
  <c r="K9"/>
</calcChain>
</file>

<file path=xl/sharedStrings.xml><?xml version="1.0" encoding="utf-8"?>
<sst xmlns="http://schemas.openxmlformats.org/spreadsheetml/2006/main" count="326" uniqueCount="64">
  <si>
    <t>FNOL</t>
  </si>
  <si>
    <t>tis. Kč</t>
  </si>
  <si>
    <t>skutečnost</t>
  </si>
  <si>
    <t>Tržby</t>
  </si>
  <si>
    <t>Variabilní náklady</t>
  </si>
  <si>
    <t>Fixní náklady</t>
  </si>
  <si>
    <t xml:space="preserve"> září 2014</t>
  </si>
  <si>
    <t>Přidaná hodnota</t>
  </si>
  <si>
    <t xml:space="preserve"> říjen 2014</t>
  </si>
  <si>
    <t xml:space="preserve"> listopad 2014</t>
  </si>
  <si>
    <t xml:space="preserve"> prosinec 2014</t>
  </si>
  <si>
    <t>CELKEM</t>
  </si>
  <si>
    <t>průměr</t>
  </si>
  <si>
    <t>Výsledek</t>
  </si>
  <si>
    <t>Osobní náklady</t>
  </si>
  <si>
    <t>Produktivita práce</t>
  </si>
  <si>
    <t>PHM litr</t>
  </si>
  <si>
    <t>Zaměstnanci</t>
  </si>
  <si>
    <t>PHM Kč/litr</t>
  </si>
  <si>
    <t>Mzdová nákladovost tržeb</t>
  </si>
  <si>
    <t>Mzdová nákladovost PH</t>
  </si>
  <si>
    <t>PHM litr/km</t>
  </si>
  <si>
    <t>ujeté Kilometry</t>
  </si>
  <si>
    <t>% z T</t>
  </si>
  <si>
    <t>vykázáno</t>
  </si>
  <si>
    <t>účetnictví</t>
  </si>
  <si>
    <t>dopravou</t>
  </si>
  <si>
    <t>PHM v tis. Kč</t>
  </si>
  <si>
    <t>spotřeba PHM na 100 km</t>
  </si>
  <si>
    <t>index</t>
  </si>
  <si>
    <t>hodnota</t>
  </si>
  <si>
    <t>počet měsíců</t>
  </si>
  <si>
    <t>PHM v litrech</t>
  </si>
  <si>
    <t>Průměrné ON na osobu</t>
  </si>
  <si>
    <t>doprava sanitní vnitřní</t>
  </si>
  <si>
    <t>BOD ZLOMU 9402</t>
  </si>
  <si>
    <t>počet</t>
  </si>
  <si>
    <t>sanitek</t>
  </si>
  <si>
    <t>PHM Kč/km</t>
  </si>
  <si>
    <t>SANITKY</t>
  </si>
  <si>
    <t xml:space="preserve"> srpen 2014</t>
  </si>
  <si>
    <t xml:space="preserve"> červenec 2014</t>
  </si>
  <si>
    <t xml:space="preserve"> červen 2014</t>
  </si>
  <si>
    <t xml:space="preserve"> prosinec 2015</t>
  </si>
  <si>
    <t xml:space="preserve"> listopad 2015</t>
  </si>
  <si>
    <t xml:space="preserve"> říjen 2015</t>
  </si>
  <si>
    <t xml:space="preserve"> září 2015</t>
  </si>
  <si>
    <t xml:space="preserve"> srpen 2015</t>
  </si>
  <si>
    <t xml:space="preserve"> červenec 2015</t>
  </si>
  <si>
    <t xml:space="preserve"> červen 2015</t>
  </si>
  <si>
    <t xml:space="preserve"> květen 2015</t>
  </si>
  <si>
    <t xml:space="preserve"> duben 2015</t>
  </si>
  <si>
    <t xml:space="preserve"> březen 2015</t>
  </si>
  <si>
    <t xml:space="preserve"> únor 2015</t>
  </si>
  <si>
    <t xml:space="preserve"> leden 2015</t>
  </si>
  <si>
    <t xml:space="preserve"> leden 2014</t>
  </si>
  <si>
    <t xml:space="preserve"> únor 2014</t>
  </si>
  <si>
    <t xml:space="preserve"> březen 2014</t>
  </si>
  <si>
    <t xml:space="preserve"> duben 2014</t>
  </si>
  <si>
    <t xml:space="preserve"> květen 2014</t>
  </si>
  <si>
    <t>2015/2014</t>
  </si>
  <si>
    <t>2015 - 2014</t>
  </si>
  <si>
    <t xml:space="preserve"> 1 - 8 2014</t>
  </si>
  <si>
    <t xml:space="preserve"> 1 - 8 2015</t>
  </si>
</sst>
</file>

<file path=xl/styles.xml><?xml version="1.0" encoding="utf-8"?>
<styleSheet xmlns="http://schemas.openxmlformats.org/spreadsheetml/2006/main">
  <numFmts count="4">
    <numFmt numFmtId="164" formatCode="0.0%"/>
    <numFmt numFmtId="165" formatCode="#,##0;[Red]#,##0"/>
    <numFmt numFmtId="166" formatCode="#,##0.00\ &quot;Kč&quot;"/>
    <numFmt numFmtId="167" formatCode="#,##0.00;[Red]#,##0.00"/>
  </numFmts>
  <fonts count="32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name val="Arial"/>
      <family val="2"/>
    </font>
    <font>
      <sz val="10"/>
      <name val="Arial"/>
      <family val="2"/>
      <charset val="238"/>
    </font>
    <font>
      <b/>
      <sz val="10"/>
      <color indexed="48"/>
      <name val="Arial"/>
      <family val="2"/>
      <charset val="238"/>
    </font>
    <font>
      <sz val="9"/>
      <color indexed="8"/>
      <name val="Arial"/>
      <family val="2"/>
    </font>
    <font>
      <sz val="9"/>
      <name val="Arial"/>
      <family val="2"/>
    </font>
    <font>
      <i/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i/>
      <sz val="10"/>
      <color theme="1"/>
      <name val="Arial"/>
      <family val="2"/>
      <charset val="238"/>
    </font>
    <font>
      <sz val="11"/>
      <color rgb="FF0033CC"/>
      <name val="Calibri"/>
      <family val="2"/>
      <charset val="238"/>
      <scheme val="minor"/>
    </font>
    <font>
      <b/>
      <sz val="11"/>
      <color rgb="FF0033CC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color indexed="48"/>
      <name val="Arial"/>
      <family val="2"/>
    </font>
    <font>
      <sz val="11"/>
      <color theme="1"/>
      <name val="Arial"/>
      <family val="2"/>
      <charset val="238"/>
    </font>
    <font>
      <sz val="11"/>
      <color rgb="FF0033CC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color indexed="8"/>
      <name val="Arial"/>
      <family val="2"/>
    </font>
    <font>
      <sz val="10"/>
      <name val="Arial"/>
      <family val="2"/>
    </font>
    <font>
      <b/>
      <sz val="9"/>
      <color theme="1"/>
      <name val="Arial"/>
      <family val="2"/>
      <charset val="238"/>
    </font>
    <font>
      <i/>
      <sz val="9"/>
      <color theme="1"/>
      <name val="Arial"/>
      <family val="2"/>
      <charset val="238"/>
    </font>
    <font>
      <b/>
      <i/>
      <sz val="9"/>
      <color theme="1"/>
      <name val="Arial"/>
      <family val="2"/>
      <charset val="238"/>
    </font>
    <font>
      <i/>
      <sz val="9"/>
      <name val="Arial"/>
      <family val="2"/>
      <charset val="238"/>
    </font>
    <font>
      <b/>
      <sz val="9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b/>
      <sz val="9"/>
      <color rgb="FF0033CC"/>
      <name val="Arial"/>
      <family val="2"/>
      <charset val="238"/>
    </font>
    <font>
      <b/>
      <sz val="9"/>
      <color indexed="8"/>
      <name val="Arial"/>
      <family val="2"/>
      <charset val="238"/>
    </font>
    <font>
      <i/>
      <sz val="9"/>
      <color indexed="8"/>
      <name val="Arial"/>
      <family val="2"/>
      <charset val="238"/>
    </font>
    <font>
      <b/>
      <i/>
      <sz val="9"/>
      <color indexed="8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double">
        <color auto="1"/>
      </left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4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4" fontId="4" fillId="0" borderId="0" xfId="0" applyNumberFormat="1" applyFont="1" applyFill="1" applyAlignment="1">
      <alignment horizontal="center"/>
    </xf>
    <xf numFmtId="0" fontId="5" fillId="0" borderId="0" xfId="0" applyFont="1" applyAlignment="1">
      <alignment horizontal="center"/>
    </xf>
    <xf numFmtId="10" fontId="6" fillId="0" borderId="0" xfId="1" applyNumberFormat="1" applyFont="1" applyAlignment="1">
      <alignment horizontal="center"/>
    </xf>
    <xf numFmtId="0" fontId="7" fillId="0" borderId="0" xfId="0" applyFont="1"/>
    <xf numFmtId="3" fontId="9" fillId="0" borderId="0" xfId="0" applyNumberFormat="1" applyFont="1" applyAlignment="1"/>
    <xf numFmtId="3" fontId="10" fillId="0" borderId="0" xfId="0" applyNumberFormat="1" applyFont="1" applyAlignment="1"/>
    <xf numFmtId="0" fontId="11" fillId="0" borderId="0" xfId="0" applyFont="1"/>
    <xf numFmtId="3" fontId="12" fillId="0" borderId="0" xfId="0" applyNumberFormat="1" applyFont="1" applyAlignment="1"/>
    <xf numFmtId="3" fontId="0" fillId="0" borderId="0" xfId="0" applyNumberFormat="1"/>
    <xf numFmtId="3" fontId="9" fillId="0" borderId="0" xfId="0" applyNumberFormat="1" applyFont="1"/>
    <xf numFmtId="3" fontId="12" fillId="0" borderId="0" xfId="0" applyNumberFormat="1" applyFont="1"/>
    <xf numFmtId="165" fontId="9" fillId="0" borderId="0" xfId="0" applyNumberFormat="1" applyFont="1" applyAlignment="1"/>
    <xf numFmtId="0" fontId="8" fillId="0" borderId="0" xfId="0" applyFont="1"/>
    <xf numFmtId="0" fontId="12" fillId="0" borderId="0" xfId="0" applyFont="1"/>
    <xf numFmtId="0" fontId="9" fillId="0" borderId="0" xfId="0" applyFont="1"/>
    <xf numFmtId="0" fontId="13" fillId="0" borderId="0" xfId="0" applyFont="1"/>
    <xf numFmtId="0" fontId="14" fillId="0" borderId="0" xfId="0" applyFont="1"/>
    <xf numFmtId="3" fontId="14" fillId="0" borderId="0" xfId="0" applyNumberFormat="1" applyFont="1"/>
    <xf numFmtId="0" fontId="15" fillId="0" borderId="0" xfId="0" applyFont="1" applyAlignment="1">
      <alignment horizontal="center"/>
    </xf>
    <xf numFmtId="10" fontId="3" fillId="0" borderId="0" xfId="1" applyNumberFormat="1" applyFont="1" applyAlignment="1">
      <alignment horizontal="center"/>
    </xf>
    <xf numFmtId="14" fontId="16" fillId="0" borderId="0" xfId="0" applyNumberFormat="1" applyFont="1" applyFill="1" applyBorder="1" applyAlignment="1">
      <alignment horizontal="center"/>
    </xf>
    <xf numFmtId="0" fontId="0" fillId="0" borderId="1" xfId="0" applyBorder="1"/>
    <xf numFmtId="0" fontId="0" fillId="0" borderId="1" xfId="0" applyFont="1" applyBorder="1" applyAlignment="1">
      <alignment horizontal="center"/>
    </xf>
    <xf numFmtId="14" fontId="16" fillId="0" borderId="1" xfId="0" applyNumberFormat="1" applyFont="1" applyFill="1" applyBorder="1" applyAlignment="1">
      <alignment horizontal="center"/>
    </xf>
    <xf numFmtId="3" fontId="8" fillId="0" borderId="0" xfId="0" applyNumberFormat="1" applyFont="1"/>
    <xf numFmtId="165" fontId="8" fillId="0" borderId="0" xfId="0" applyNumberFormat="1" applyFont="1"/>
    <xf numFmtId="3" fontId="11" fillId="0" borderId="0" xfId="0" applyNumberFormat="1" applyFont="1"/>
    <xf numFmtId="3" fontId="14" fillId="0" borderId="0" xfId="0" applyNumberFormat="1" applyFont="1" applyBorder="1"/>
    <xf numFmtId="3" fontId="8" fillId="0" borderId="0" xfId="0" applyNumberFormat="1" applyFont="1" applyAlignment="1"/>
    <xf numFmtId="164" fontId="9" fillId="0" borderId="0" xfId="0" applyNumberFormat="1" applyFont="1" applyAlignment="1"/>
    <xf numFmtId="0" fontId="3" fillId="0" borderId="0" xfId="0" applyFont="1" applyBorder="1" applyAlignment="1">
      <alignment horizontal="center"/>
    </xf>
    <xf numFmtId="164" fontId="9" fillId="0" borderId="0" xfId="0" applyNumberFormat="1" applyFont="1" applyBorder="1" applyAlignment="1"/>
    <xf numFmtId="3" fontId="9" fillId="0" borderId="0" xfId="0" applyNumberFormat="1" applyFont="1" applyBorder="1" applyAlignment="1"/>
    <xf numFmtId="164" fontId="14" fillId="0" borderId="1" xfId="0" applyNumberFormat="1" applyFont="1" applyBorder="1"/>
    <xf numFmtId="0" fontId="17" fillId="0" borderId="0" xfId="0" applyFont="1"/>
    <xf numFmtId="3" fontId="17" fillId="0" borderId="0" xfId="0" applyNumberFormat="1" applyFont="1"/>
    <xf numFmtId="0" fontId="18" fillId="0" borderId="0" xfId="0" applyFont="1"/>
    <xf numFmtId="0" fontId="10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166" fontId="9" fillId="0" borderId="0" xfId="0" applyNumberFormat="1" applyFont="1" applyAlignment="1"/>
    <xf numFmtId="166" fontId="9" fillId="0" borderId="0" xfId="0" applyNumberFormat="1" applyFont="1" applyBorder="1" applyAlignment="1"/>
    <xf numFmtId="4" fontId="9" fillId="0" borderId="0" xfId="0" applyNumberFormat="1" applyFont="1"/>
    <xf numFmtId="2" fontId="9" fillId="0" borderId="0" xfId="0" applyNumberFormat="1" applyFont="1" applyBorder="1"/>
    <xf numFmtId="4" fontId="11" fillId="0" borderId="0" xfId="0" applyNumberFormat="1" applyFont="1"/>
    <xf numFmtId="4" fontId="11" fillId="0" borderId="0" xfId="0" applyNumberFormat="1" applyFont="1" applyBorder="1"/>
    <xf numFmtId="0" fontId="19" fillId="0" borderId="0" xfId="0" applyFont="1"/>
    <xf numFmtId="0" fontId="19" fillId="0" borderId="0" xfId="0" applyFont="1" applyBorder="1"/>
    <xf numFmtId="0" fontId="20" fillId="0" borderId="0" xfId="0" applyFont="1" applyAlignment="1">
      <alignment horizontal="center"/>
    </xf>
    <xf numFmtId="2" fontId="9" fillId="0" borderId="0" xfId="0" applyNumberFormat="1" applyFont="1"/>
    <xf numFmtId="164" fontId="22" fillId="0" borderId="0" xfId="0" applyNumberFormat="1" applyFont="1"/>
    <xf numFmtId="164" fontId="23" fillId="0" borderId="0" xfId="0" applyNumberFormat="1" applyFont="1"/>
    <xf numFmtId="164" fontId="24" fillId="0" borderId="0" xfId="0" applyNumberFormat="1" applyFont="1"/>
    <xf numFmtId="0" fontId="15" fillId="0" borderId="0" xfId="0" applyFont="1"/>
    <xf numFmtId="3" fontId="23" fillId="0" borderId="0" xfId="0" applyNumberFormat="1" applyFont="1" applyAlignment="1"/>
    <xf numFmtId="3" fontId="25" fillId="0" borderId="0" xfId="0" applyNumberFormat="1" applyFont="1"/>
    <xf numFmtId="166" fontId="26" fillId="0" borderId="0" xfId="0" applyNumberFormat="1" applyFont="1" applyAlignment="1"/>
    <xf numFmtId="4" fontId="22" fillId="0" borderId="0" xfId="0" applyNumberFormat="1" applyFont="1"/>
    <xf numFmtId="4" fontId="26" fillId="0" borderId="0" xfId="0" applyNumberFormat="1" applyFont="1"/>
    <xf numFmtId="0" fontId="27" fillId="0" borderId="0" xfId="0" applyFont="1"/>
    <xf numFmtId="164" fontId="22" fillId="0" borderId="0" xfId="0" applyNumberFormat="1" applyFont="1" applyBorder="1"/>
    <xf numFmtId="164" fontId="23" fillId="0" borderId="0" xfId="0" applyNumberFormat="1" applyFont="1" applyBorder="1"/>
    <xf numFmtId="164" fontId="15" fillId="0" borderId="0" xfId="0" applyNumberFormat="1" applyFont="1"/>
    <xf numFmtId="3" fontId="23" fillId="0" borderId="0" xfId="0" applyNumberFormat="1" applyFont="1"/>
    <xf numFmtId="166" fontId="22" fillId="0" borderId="0" xfId="0" applyNumberFormat="1" applyFont="1" applyBorder="1" applyAlignment="1"/>
    <xf numFmtId="2" fontId="22" fillId="0" borderId="0" xfId="0" applyNumberFormat="1" applyFont="1" applyBorder="1"/>
    <xf numFmtId="4" fontId="26" fillId="0" borderId="0" xfId="0" applyNumberFormat="1" applyFont="1" applyBorder="1"/>
    <xf numFmtId="3" fontId="28" fillId="0" borderId="0" xfId="0" applyNumberFormat="1" applyFont="1" applyBorder="1"/>
    <xf numFmtId="0" fontId="20" fillId="0" borderId="0" xfId="0" applyFont="1" applyBorder="1" applyAlignment="1">
      <alignment horizontal="center"/>
    </xf>
    <xf numFmtId="10" fontId="21" fillId="0" borderId="0" xfId="1" applyNumberFormat="1" applyFont="1" applyBorder="1" applyAlignment="1">
      <alignment horizontal="center"/>
    </xf>
    <xf numFmtId="0" fontId="27" fillId="0" borderId="0" xfId="0" applyFont="1" applyBorder="1"/>
    <xf numFmtId="166" fontId="22" fillId="0" borderId="0" xfId="0" applyNumberFormat="1" applyFont="1" applyAlignment="1"/>
    <xf numFmtId="2" fontId="22" fillId="0" borderId="0" xfId="0" applyNumberFormat="1" applyFont="1"/>
    <xf numFmtId="164" fontId="29" fillId="0" borderId="1" xfId="1" applyNumberFormat="1" applyFont="1" applyBorder="1"/>
    <xf numFmtId="165" fontId="22" fillId="0" borderId="0" xfId="0" applyNumberFormat="1" applyFont="1"/>
    <xf numFmtId="164" fontId="30" fillId="0" borderId="1" xfId="1" applyNumberFormat="1" applyFont="1" applyBorder="1"/>
    <xf numFmtId="165" fontId="23" fillId="0" borderId="0" xfId="0" applyNumberFormat="1" applyFont="1"/>
    <xf numFmtId="164" fontId="31" fillId="0" borderId="1" xfId="1" applyNumberFormat="1" applyFont="1" applyBorder="1"/>
    <xf numFmtId="0" fontId="15" fillId="0" borderId="1" xfId="0" applyFont="1" applyBorder="1"/>
    <xf numFmtId="164" fontId="29" fillId="0" borderId="0" xfId="1" applyNumberFormat="1" applyFont="1" applyBorder="1"/>
    <xf numFmtId="167" fontId="22" fillId="0" borderId="0" xfId="0" applyNumberFormat="1" applyFont="1"/>
    <xf numFmtId="3" fontId="22" fillId="0" borderId="0" xfId="0" applyNumberFormat="1" applyFont="1"/>
    <xf numFmtId="3" fontId="15" fillId="0" borderId="0" xfId="0" applyNumberFormat="1" applyFont="1"/>
    <xf numFmtId="3" fontId="22" fillId="0" borderId="0" xfId="0" applyNumberFormat="1" applyFont="1" applyAlignment="1"/>
    <xf numFmtId="4" fontId="9" fillId="0" borderId="0" xfId="0" applyNumberFormat="1" applyFont="1" applyBorder="1"/>
    <xf numFmtId="0" fontId="0" fillId="0" borderId="0" xfId="0" applyBorder="1" applyAlignment="1">
      <alignment horizontal="center"/>
    </xf>
    <xf numFmtId="14" fontId="4" fillId="0" borderId="0" xfId="0" applyNumberFormat="1" applyFont="1" applyFill="1" applyBorder="1" applyAlignment="1">
      <alignment horizontal="center"/>
    </xf>
    <xf numFmtId="0" fontId="8" fillId="0" borderId="0" xfId="0" applyFont="1" applyBorder="1" applyAlignment="1">
      <alignment horizontal="center"/>
    </xf>
    <xf numFmtId="3" fontId="7" fillId="0" borderId="0" xfId="0" applyNumberFormat="1" applyFont="1"/>
    <xf numFmtId="165" fontId="7" fillId="0" borderId="0" xfId="0" applyNumberFormat="1" applyFont="1"/>
  </cellXfs>
  <cellStyles count="2">
    <cellStyle name="normální" xfId="0" builtinId="0"/>
    <cellStyle name="procent" xfId="1" builtinId="5"/>
  </cellStyles>
  <dxfs count="0"/>
  <tableStyles count="0" defaultTableStyle="TableStyleMedium9" defaultPivotStyle="PivotStyleLight16"/>
  <colors>
    <mruColors>
      <color rgb="FF0033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U78"/>
  <sheetViews>
    <sheetView tabSelected="1" zoomScaleNormal="100" workbookViewId="0">
      <pane xSplit="3" ySplit="4" topLeftCell="D5" activePane="bottomRight" state="frozen"/>
      <selection pane="topRight" activeCell="C1" sqref="C1"/>
      <selection pane="bottomLeft" activeCell="A5" sqref="A5"/>
      <selection pane="bottomRight" activeCell="G4" sqref="G4"/>
    </sheetView>
  </sheetViews>
  <sheetFormatPr defaultRowHeight="15"/>
  <cols>
    <col min="1" max="1" width="1.7109375" customWidth="1"/>
    <col min="2" max="2" width="25.5703125" customWidth="1"/>
    <col min="3" max="3" width="1.7109375" customWidth="1"/>
    <col min="4" max="4" width="13.7109375" customWidth="1"/>
    <col min="5" max="6" width="8.7109375" customWidth="1"/>
    <col min="7" max="7" width="13.7109375" customWidth="1"/>
    <col min="8" max="9" width="8.7109375" customWidth="1"/>
    <col min="10" max="12" width="11.7109375" customWidth="1"/>
    <col min="13" max="13" width="8.7109375" customWidth="1"/>
    <col min="14" max="14" width="13.7109375" customWidth="1"/>
    <col min="15" max="15" width="8.7109375" customWidth="1"/>
    <col min="16" max="16" width="13.7109375" customWidth="1"/>
    <col min="17" max="18" width="2.7109375" customWidth="1"/>
    <col min="19" max="19" width="13.7109375" customWidth="1"/>
    <col min="20" max="20" width="8.7109375" customWidth="1"/>
    <col min="21" max="22" width="13.7109375" customWidth="1"/>
    <col min="23" max="23" width="9.28515625" customWidth="1"/>
    <col min="24" max="25" width="2.7109375" customWidth="1"/>
    <col min="26" max="26" width="13.7109375" customWidth="1"/>
    <col min="28" max="28" width="13.7109375" customWidth="1"/>
  </cols>
  <sheetData>
    <row r="1" spans="2:21" ht="15.75">
      <c r="B1" s="2" t="s">
        <v>0</v>
      </c>
      <c r="J1" s="25"/>
    </row>
    <row r="2" spans="2:21">
      <c r="B2" s="41" t="s">
        <v>34</v>
      </c>
      <c r="D2" s="3" t="s">
        <v>2</v>
      </c>
      <c r="E2" s="5" t="s">
        <v>23</v>
      </c>
      <c r="F2" s="52" t="s">
        <v>36</v>
      </c>
      <c r="G2" s="3" t="s">
        <v>2</v>
      </c>
      <c r="H2" s="5" t="s">
        <v>23</v>
      </c>
      <c r="I2" s="52" t="s">
        <v>36</v>
      </c>
      <c r="J2" s="26" t="s">
        <v>29</v>
      </c>
      <c r="K2" s="1" t="s">
        <v>30</v>
      </c>
      <c r="L2" s="89" t="s">
        <v>39</v>
      </c>
      <c r="M2" s="5"/>
      <c r="N2" s="3"/>
      <c r="O2" s="5"/>
      <c r="P2" s="3"/>
      <c r="S2" s="3"/>
      <c r="T2" s="5"/>
      <c r="U2" s="1"/>
    </row>
    <row r="3" spans="2:21">
      <c r="B3" s="42" t="s">
        <v>1</v>
      </c>
      <c r="D3" s="4" t="s">
        <v>62</v>
      </c>
      <c r="E3" s="23" t="s">
        <v>24</v>
      </c>
      <c r="F3" s="3" t="s">
        <v>37</v>
      </c>
      <c r="G3" s="4" t="s">
        <v>63</v>
      </c>
      <c r="H3" s="6" t="s">
        <v>24</v>
      </c>
      <c r="I3" s="3" t="s">
        <v>37</v>
      </c>
      <c r="J3" s="27" t="s">
        <v>60</v>
      </c>
      <c r="K3" s="24" t="s">
        <v>61</v>
      </c>
      <c r="L3" s="24" t="s">
        <v>61</v>
      </c>
      <c r="M3" s="6"/>
      <c r="N3" s="4"/>
      <c r="O3" s="6"/>
      <c r="P3" s="4"/>
      <c r="S3" s="4"/>
      <c r="T3" s="6"/>
    </row>
    <row r="4" spans="2:21">
      <c r="B4" s="43">
        <v>9402</v>
      </c>
      <c r="D4" s="22" t="s">
        <v>25</v>
      </c>
      <c r="E4" s="3" t="s">
        <v>26</v>
      </c>
      <c r="F4" s="3">
        <f>+'2014'!AR4</f>
        <v>10</v>
      </c>
      <c r="G4" s="22" t="s">
        <v>25</v>
      </c>
      <c r="H4" s="3" t="s">
        <v>26</v>
      </c>
      <c r="I4" s="3">
        <f>+'2015'!AR4</f>
        <v>10</v>
      </c>
      <c r="J4" s="25"/>
    </row>
    <row r="5" spans="2:21">
      <c r="B5" s="10" t="s">
        <v>3</v>
      </c>
      <c r="C5" s="16"/>
      <c r="D5" s="8">
        <f>+'2014'!AP5</f>
        <v>8941.2439999999988</v>
      </c>
      <c r="E5" s="54">
        <f>+D5/$D$5</f>
        <v>1</v>
      </c>
      <c r="F5" s="85">
        <f>+D5/F4</f>
        <v>894.12439999999992</v>
      </c>
      <c r="G5" s="13">
        <f>+'2015'!AP5</f>
        <v>10687.132</v>
      </c>
      <c r="H5" s="54">
        <f>+G5/$G$5</f>
        <v>1</v>
      </c>
      <c r="I5" s="85">
        <f>+G5/I4</f>
        <v>1068.7131999999999</v>
      </c>
      <c r="J5" s="77">
        <f t="shared" ref="J5:J24" si="0">+G5/D5</f>
        <v>1.19526231472936</v>
      </c>
      <c r="K5" s="78">
        <f>+G5-D5</f>
        <v>1745.8880000000008</v>
      </c>
      <c r="L5" s="78">
        <f>+I5-F5</f>
        <v>174.58879999999999</v>
      </c>
      <c r="M5" s="57"/>
    </row>
    <row r="6" spans="2:21">
      <c r="B6" s="7" t="s">
        <v>4</v>
      </c>
      <c r="C6" s="16"/>
      <c r="D6" s="11">
        <f>+'2014'!AP6</f>
        <v>654.20737632959992</v>
      </c>
      <c r="E6" s="55">
        <f>+D6/$D$5</f>
        <v>7.3167377641142547E-2</v>
      </c>
      <c r="F6" s="67">
        <f>+D6/F4</f>
        <v>65.420737632959998</v>
      </c>
      <c r="G6" s="14">
        <f>+'2015'!AP6</f>
        <v>753.57924000000003</v>
      </c>
      <c r="H6" s="55">
        <f>+G6/$G$5</f>
        <v>7.0512766193961116E-2</v>
      </c>
      <c r="I6" s="67">
        <f>+G6/I4</f>
        <v>75.357923999999997</v>
      </c>
      <c r="J6" s="79">
        <f t="shared" si="0"/>
        <v>1.1518965809097435</v>
      </c>
      <c r="K6" s="80">
        <f>+G6-D6</f>
        <v>99.371863670400103</v>
      </c>
      <c r="L6" s="80">
        <f>+I6-F6</f>
        <v>9.9371863670399989</v>
      </c>
      <c r="M6" s="57"/>
    </row>
    <row r="7" spans="2:21">
      <c r="B7" s="10" t="s">
        <v>7</v>
      </c>
      <c r="C7" s="16"/>
      <c r="D7" s="8">
        <f>+D5-D6</f>
        <v>8287.0366236703994</v>
      </c>
      <c r="E7" s="56">
        <f>+D7/$D$5</f>
        <v>0.92683262235885755</v>
      </c>
      <c r="F7" s="87">
        <f>+F5-F6</f>
        <v>828.7036623670399</v>
      </c>
      <c r="G7" s="8">
        <f>+G5-G6</f>
        <v>9933.5527599999987</v>
      </c>
      <c r="H7" s="56">
        <f>+G7/$G$5</f>
        <v>0.92948723380603882</v>
      </c>
      <c r="I7" s="87">
        <f>+I5-I6</f>
        <v>993.35527599999989</v>
      </c>
      <c r="J7" s="81">
        <f t="shared" si="0"/>
        <v>1.1986857559705515</v>
      </c>
      <c r="K7" s="78">
        <f>+G7-D7</f>
        <v>1646.5161363295992</v>
      </c>
      <c r="L7" s="78">
        <f>+I7-F7</f>
        <v>164.65161363295999</v>
      </c>
      <c r="M7" s="57"/>
    </row>
    <row r="8" spans="2:21">
      <c r="B8" s="7" t="s">
        <v>5</v>
      </c>
      <c r="C8" s="16"/>
      <c r="D8" s="11">
        <f>+'2014'!AP8</f>
        <v>8524.4627792339998</v>
      </c>
      <c r="E8" s="55">
        <f>+D8/$D$5</f>
        <v>0.95338666288874352</v>
      </c>
      <c r="F8" s="67">
        <f>+D8/F4</f>
        <v>852.44627792339998</v>
      </c>
      <c r="G8" s="14">
        <f>+'2015'!AP8</f>
        <v>9783.2248199999995</v>
      </c>
      <c r="H8" s="55">
        <f>+G8/$G$5</f>
        <v>0.91542097730242311</v>
      </c>
      <c r="I8" s="67">
        <f>+G8/I4</f>
        <v>978.32248199999992</v>
      </c>
      <c r="J8" s="79">
        <f t="shared" si="0"/>
        <v>1.1476646767503524</v>
      </c>
      <c r="K8" s="80">
        <f>+G8-D8</f>
        <v>1258.7620407659997</v>
      </c>
      <c r="L8" s="80">
        <f>+I8-F8</f>
        <v>125.87620407659995</v>
      </c>
      <c r="M8" s="57"/>
    </row>
    <row r="9" spans="2:21">
      <c r="B9" s="18" t="s">
        <v>13</v>
      </c>
      <c r="C9" s="16"/>
      <c r="D9" s="15">
        <f>+D5-D6-D8</f>
        <v>-237.42615556360033</v>
      </c>
      <c r="E9" s="54">
        <f>+D9/$D$5</f>
        <v>-2.6554040529886039E-2</v>
      </c>
      <c r="F9" s="15">
        <f>+F5-F6-F8</f>
        <v>-23.742615556360079</v>
      </c>
      <c r="G9" s="15">
        <f>+G5-G6-G8</f>
        <v>150.32793999999922</v>
      </c>
      <c r="H9" s="54">
        <f>+G9/$G$5</f>
        <v>1.4066256503615678E-2</v>
      </c>
      <c r="I9" s="15">
        <f>+I5-I6-I8</f>
        <v>15.032793999999967</v>
      </c>
      <c r="J9" s="81">
        <f t="shared" si="0"/>
        <v>-0.63315661091825348</v>
      </c>
      <c r="K9" s="78">
        <f>+G9-D9</f>
        <v>387.75409556359955</v>
      </c>
      <c r="L9" s="78">
        <f>+I9-F9</f>
        <v>38.775409556360046</v>
      </c>
      <c r="M9" s="57"/>
    </row>
    <row r="10" spans="2:21" ht="7.5" customHeight="1">
      <c r="B10" s="16"/>
      <c r="C10" s="16"/>
      <c r="D10" s="32"/>
      <c r="E10" s="57"/>
      <c r="F10" s="57"/>
      <c r="G10" s="28"/>
      <c r="H10" s="57"/>
      <c r="I10" s="57"/>
      <c r="J10" s="82"/>
      <c r="K10" s="57"/>
      <c r="L10" s="57"/>
      <c r="M10" s="57"/>
    </row>
    <row r="11" spans="2:21">
      <c r="B11" s="17" t="s">
        <v>17</v>
      </c>
      <c r="C11" s="16"/>
      <c r="D11" s="32">
        <f>+'2014'!AP11</f>
        <v>224</v>
      </c>
      <c r="E11" s="57"/>
      <c r="F11" s="67">
        <f>+D11/F4</f>
        <v>22.4</v>
      </c>
      <c r="G11" s="28">
        <f>+'2015'!AP11</f>
        <v>222</v>
      </c>
      <c r="H11" s="57"/>
      <c r="I11" s="67">
        <f>+G11/I4</f>
        <v>22.2</v>
      </c>
      <c r="J11" s="79">
        <f t="shared" si="0"/>
        <v>0.9910714285714286</v>
      </c>
      <c r="K11" s="80">
        <f t="shared" ref="K11:K16" si="1">+G11-D11</f>
        <v>-2</v>
      </c>
      <c r="L11" s="80">
        <f>+I11-F11</f>
        <v>-0.19999999999999929</v>
      </c>
      <c r="M11" s="57"/>
    </row>
    <row r="12" spans="2:21">
      <c r="B12" s="17" t="s">
        <v>14</v>
      </c>
      <c r="C12" s="16"/>
      <c r="D12" s="32">
        <f>+'2014'!AP12</f>
        <v>6937.3874355430007</v>
      </c>
      <c r="E12" s="57"/>
      <c r="F12" s="67">
        <f>+D12/F4</f>
        <v>693.73874355430007</v>
      </c>
      <c r="G12" s="14">
        <f>+'2015'!AP12</f>
        <v>8134.8494899999996</v>
      </c>
      <c r="H12" s="57"/>
      <c r="I12" s="67">
        <f>+G12/I4</f>
        <v>813.48494899999992</v>
      </c>
      <c r="J12" s="79">
        <f t="shared" si="0"/>
        <v>1.1726099436686963</v>
      </c>
      <c r="K12" s="80">
        <f t="shared" si="1"/>
        <v>1197.4620544569989</v>
      </c>
      <c r="L12" s="80">
        <f>+I12-F12</f>
        <v>119.74620544569984</v>
      </c>
      <c r="M12" s="57"/>
    </row>
    <row r="13" spans="2:21">
      <c r="B13" s="18" t="s">
        <v>19</v>
      </c>
      <c r="C13" s="16"/>
      <c r="D13" s="33">
        <f>+D12/D5</f>
        <v>0.77588615583502718</v>
      </c>
      <c r="E13" s="57"/>
      <c r="F13" s="33"/>
      <c r="G13" s="33">
        <f>+G12/G5</f>
        <v>0.7611817174149248</v>
      </c>
      <c r="H13" s="57"/>
      <c r="I13" s="33"/>
      <c r="J13" s="77">
        <f t="shared" si="0"/>
        <v>0.98104820106723378</v>
      </c>
      <c r="K13" s="54">
        <f t="shared" si="1"/>
        <v>-1.4704438420102384E-2</v>
      </c>
      <c r="L13" s="57"/>
      <c r="M13" s="57"/>
    </row>
    <row r="14" spans="2:21">
      <c r="B14" s="18" t="s">
        <v>15</v>
      </c>
      <c r="C14" s="16"/>
      <c r="D14" s="8">
        <f>+D5/D11</f>
        <v>39.916267857142849</v>
      </c>
      <c r="E14" s="57"/>
      <c r="F14" s="8"/>
      <c r="G14" s="8">
        <f>+G5/G11</f>
        <v>48.140234234234235</v>
      </c>
      <c r="H14" s="57"/>
      <c r="I14" s="8"/>
      <c r="J14" s="77">
        <f t="shared" si="0"/>
        <v>1.2060304436908857</v>
      </c>
      <c r="K14" s="78">
        <f t="shared" si="1"/>
        <v>8.2239663770913864</v>
      </c>
      <c r="L14" s="57"/>
      <c r="M14" s="57"/>
    </row>
    <row r="15" spans="2:21">
      <c r="B15" s="10" t="s">
        <v>33</v>
      </c>
      <c r="C15" s="16"/>
      <c r="D15" s="8">
        <f>+D12/D11</f>
        <v>30.970479622959825</v>
      </c>
      <c r="E15" s="57"/>
      <c r="F15" s="8"/>
      <c r="G15" s="8">
        <f>+G12/G11</f>
        <v>36.64346617117117</v>
      </c>
      <c r="H15" s="57"/>
      <c r="I15" s="8"/>
      <c r="J15" s="77">
        <f t="shared" si="0"/>
        <v>1.1831739972152611</v>
      </c>
      <c r="K15" s="78">
        <f t="shared" si="1"/>
        <v>5.6729865482113446</v>
      </c>
      <c r="L15" s="57"/>
      <c r="M15" s="57"/>
    </row>
    <row r="16" spans="2:21">
      <c r="B16" s="18" t="s">
        <v>20</v>
      </c>
      <c r="C16" s="16"/>
      <c r="D16" s="33">
        <f>+D12/D7</f>
        <v>0.83713729654912183</v>
      </c>
      <c r="E16" s="57"/>
      <c r="F16" s="33"/>
      <c r="G16" s="33">
        <f>+G12/G7</f>
        <v>0.81892648949900992</v>
      </c>
      <c r="H16" s="57"/>
      <c r="I16" s="33"/>
      <c r="J16" s="77">
        <f t="shared" si="0"/>
        <v>0.97824633172457953</v>
      </c>
      <c r="K16" s="54">
        <f t="shared" si="1"/>
        <v>-1.821080705011191E-2</v>
      </c>
      <c r="L16" s="57"/>
      <c r="M16" s="57"/>
    </row>
    <row r="17" spans="2:13" ht="7.5" customHeight="1">
      <c r="B17" s="7"/>
      <c r="C17" s="16"/>
      <c r="D17" s="32"/>
      <c r="E17" s="57"/>
      <c r="F17" s="57"/>
      <c r="G17" s="28"/>
      <c r="H17" s="57"/>
      <c r="I17" s="57"/>
      <c r="J17" s="82"/>
      <c r="K17" s="57"/>
      <c r="L17" s="57"/>
      <c r="M17" s="57"/>
    </row>
    <row r="18" spans="2:13">
      <c r="B18" s="17" t="s">
        <v>22</v>
      </c>
      <c r="C18" s="16"/>
      <c r="D18" s="11">
        <f>+'2014'!AP18</f>
        <v>77936.697259999986</v>
      </c>
      <c r="E18" s="58">
        <f>+'2014'!AQ18</f>
        <v>77936.697259999986</v>
      </c>
      <c r="F18" s="67">
        <f>+D18/F4</f>
        <v>7793.6697259999983</v>
      </c>
      <c r="G18" s="14">
        <f>+'2015'!AP18</f>
        <v>90515</v>
      </c>
      <c r="H18" s="67">
        <f>+'2015'!AQ18</f>
        <v>90515</v>
      </c>
      <c r="I18" s="67">
        <f>+G18/I4</f>
        <v>9051.5</v>
      </c>
      <c r="J18" s="79">
        <f t="shared" si="0"/>
        <v>1.1613912724327833</v>
      </c>
      <c r="K18" s="80">
        <f t="shared" ref="K18:K24" si="2">+G18-D18</f>
        <v>12578.302740000014</v>
      </c>
      <c r="L18" s="80">
        <f>+I18-F18</f>
        <v>1257.8302740000017</v>
      </c>
      <c r="M18" s="57"/>
    </row>
    <row r="19" spans="2:13">
      <c r="B19" s="17" t="s">
        <v>16</v>
      </c>
      <c r="C19" s="16"/>
      <c r="D19" s="11">
        <f>+'2014'!AP19</f>
        <v>6957.5276999999996</v>
      </c>
      <c r="E19" s="59">
        <f>+'2014'!AQ19</f>
        <v>6957.5277000000006</v>
      </c>
      <c r="F19" s="67">
        <f>+D19/F4</f>
        <v>695.75276999999994</v>
      </c>
      <c r="G19" s="14">
        <f>+'2015'!AP19</f>
        <v>8186.08</v>
      </c>
      <c r="H19" s="67">
        <f>+'2015'!AQ19</f>
        <v>8186.08</v>
      </c>
      <c r="I19" s="67">
        <f>+G19/I4</f>
        <v>818.60799999999995</v>
      </c>
      <c r="J19" s="79">
        <f t="shared" si="0"/>
        <v>1.1765788586080657</v>
      </c>
      <c r="K19" s="80">
        <f t="shared" si="2"/>
        <v>1228.5523000000003</v>
      </c>
      <c r="L19" s="80">
        <f>+I19-F19</f>
        <v>122.85523000000001</v>
      </c>
      <c r="M19" s="57"/>
    </row>
    <row r="20" spans="2:13">
      <c r="B20" s="17" t="s">
        <v>27</v>
      </c>
      <c r="C20" s="16"/>
      <c r="D20" s="11">
        <f>+'2014'!AP20</f>
        <v>254.77699329999999</v>
      </c>
      <c r="E20" s="59">
        <f>+'2014'!AQ20</f>
        <v>255.51692496000001</v>
      </c>
      <c r="F20" s="67">
        <f>+D20/F4</f>
        <v>25.47769933</v>
      </c>
      <c r="G20" s="14">
        <f>+'2015'!AP20</f>
        <v>248.36010000000002</v>
      </c>
      <c r="H20" s="67">
        <f>+'2015'!AQ20</f>
        <v>248.36028999999996</v>
      </c>
      <c r="I20" s="67">
        <f>+G20/I4</f>
        <v>24.836010000000002</v>
      </c>
      <c r="J20" s="79">
        <f t="shared" si="0"/>
        <v>0.97481368620892672</v>
      </c>
      <c r="K20" s="80">
        <f t="shared" si="2"/>
        <v>-6.4168932999999697</v>
      </c>
      <c r="L20" s="80">
        <f>+I20-F20</f>
        <v>-0.64168932999999839</v>
      </c>
      <c r="M20" s="57"/>
    </row>
    <row r="21" spans="2:13">
      <c r="B21" s="18" t="s">
        <v>18</v>
      </c>
      <c r="C21" s="16"/>
      <c r="D21" s="44">
        <f>+D20/D19*1000</f>
        <v>36.618897442549887</v>
      </c>
      <c r="E21" s="60">
        <f>+E20/E19*1000</f>
        <v>36.72524723976305</v>
      </c>
      <c r="F21" s="60"/>
      <c r="G21" s="44">
        <f>+G20/G19*1000</f>
        <v>30.339319918691245</v>
      </c>
      <c r="H21" s="75">
        <f>+H20/H19*1000</f>
        <v>30.339343128823561</v>
      </c>
      <c r="I21" s="75"/>
      <c r="J21" s="77">
        <f t="shared" si="0"/>
        <v>0.82851538515842937</v>
      </c>
      <c r="K21" s="78">
        <f t="shared" si="2"/>
        <v>-6.2795775238586415</v>
      </c>
      <c r="L21" s="83">
        <f>+H21/E21</f>
        <v>0.82611678365978813</v>
      </c>
      <c r="M21" s="84">
        <f>+H21-E21</f>
        <v>-6.3859041109394887</v>
      </c>
    </row>
    <row r="22" spans="2:13">
      <c r="B22" s="18" t="s">
        <v>21</v>
      </c>
      <c r="C22" s="16"/>
      <c r="D22" s="46">
        <f>+D19/D18</f>
        <v>8.9271523487701884E-2</v>
      </c>
      <c r="E22" s="46">
        <f>+E19/E18</f>
        <v>8.9271523487701898E-2</v>
      </c>
      <c r="F22" s="61"/>
      <c r="G22" s="53">
        <f>+G19/G18</f>
        <v>9.0438932773573441E-2</v>
      </c>
      <c r="H22" s="46">
        <f>+H19/H18</f>
        <v>9.0438932773573441E-2</v>
      </c>
      <c r="I22" s="76"/>
      <c r="J22" s="77">
        <f t="shared" si="0"/>
        <v>1.0130770624300187</v>
      </c>
      <c r="K22" s="78">
        <f t="shared" si="2"/>
        <v>1.1674092858715568E-3</v>
      </c>
      <c r="L22" s="57"/>
      <c r="M22" s="57"/>
    </row>
    <row r="23" spans="2:13">
      <c r="B23" s="10" t="s">
        <v>28</v>
      </c>
      <c r="C23" s="10"/>
      <c r="D23" s="48">
        <f>+D20*1000/(D18*D21)*100</f>
        <v>8.9271523487701874</v>
      </c>
      <c r="E23" s="48">
        <f>+E20*1000/(E18*E21)*100</f>
        <v>8.9271523487701891</v>
      </c>
      <c r="F23" s="62"/>
      <c r="G23" s="48">
        <f>+G20/(G18*G21)*1000*100</f>
        <v>9.0438932773573431</v>
      </c>
      <c r="H23" s="48">
        <f>+H20*1000/(H18*H21)*100</f>
        <v>9.0438932773573431</v>
      </c>
      <c r="I23" s="62"/>
      <c r="J23" s="77">
        <f t="shared" si="0"/>
        <v>1.0130770624300187</v>
      </c>
      <c r="K23" s="78">
        <f t="shared" si="2"/>
        <v>0.11674092858715568</v>
      </c>
      <c r="L23" s="57"/>
      <c r="M23" s="57"/>
    </row>
    <row r="24" spans="2:13">
      <c r="B24" s="18" t="s">
        <v>38</v>
      </c>
      <c r="C24" s="10"/>
      <c r="D24" s="48">
        <f>+D20/D18*1000</f>
        <v>3.2690247631363385</v>
      </c>
      <c r="E24" s="48">
        <f>+E20/E18*1000</f>
        <v>3.2785187715561666</v>
      </c>
      <c r="F24" s="62"/>
      <c r="G24" s="48">
        <f>+G20/G18*1000</f>
        <v>2.7438557145224549</v>
      </c>
      <c r="H24" s="48">
        <f>+H20/H18*1000</f>
        <v>2.7438578136220513</v>
      </c>
      <c r="I24" s="62"/>
      <c r="J24" s="77">
        <f t="shared" si="0"/>
        <v>0.83934993257437718</v>
      </c>
      <c r="K24" s="78">
        <f t="shared" si="2"/>
        <v>-0.52516904861388358</v>
      </c>
      <c r="L24" s="57"/>
      <c r="M24" s="57"/>
    </row>
    <row r="25" spans="2:13" ht="7.5" customHeight="1">
      <c r="B25" s="16"/>
      <c r="E25" s="63"/>
      <c r="F25" s="63"/>
      <c r="G25" s="12"/>
      <c r="H25" s="63"/>
      <c r="I25" s="63"/>
      <c r="J25" s="82"/>
      <c r="K25" s="57"/>
      <c r="L25" s="63"/>
      <c r="M25" s="63"/>
    </row>
    <row r="26" spans="2:13">
      <c r="B26" s="20" t="s">
        <v>35</v>
      </c>
      <c r="C26" s="19"/>
      <c r="D26" s="21">
        <f>+D8/(1-D6/D5)</f>
        <v>9197.4133986982597</v>
      </c>
      <c r="E26" s="63"/>
      <c r="F26" s="63"/>
      <c r="G26" s="21">
        <f>+G8/(1-G6/G5)</f>
        <v>10525.399880899835</v>
      </c>
      <c r="H26" s="63"/>
      <c r="I26" s="63"/>
      <c r="J26" s="37">
        <f>+G26/D26</f>
        <v>1.1443869514867657</v>
      </c>
      <c r="K26" s="21">
        <f>+G26-D26</f>
        <v>1327.9864822015752</v>
      </c>
    </row>
    <row r="27" spans="2:13">
      <c r="G27" s="12"/>
    </row>
    <row r="28" spans="2:13">
      <c r="G28" s="12"/>
    </row>
    <row r="29" spans="2:13">
      <c r="G29" s="12"/>
    </row>
    <row r="30" spans="2:13">
      <c r="G30" s="12"/>
    </row>
    <row r="31" spans="2:13">
      <c r="G31" s="12"/>
    </row>
    <row r="32" spans="2:13">
      <c r="G32" s="12"/>
    </row>
    <row r="33" spans="7:7">
      <c r="G33" s="12"/>
    </row>
    <row r="34" spans="7:7">
      <c r="G34" s="12"/>
    </row>
    <row r="35" spans="7:7">
      <c r="G35" s="12"/>
    </row>
    <row r="36" spans="7:7">
      <c r="G36" s="12"/>
    </row>
    <row r="37" spans="7:7">
      <c r="G37" s="12"/>
    </row>
    <row r="38" spans="7:7">
      <c r="G38" s="12"/>
    </row>
    <row r="39" spans="7:7">
      <c r="G39" s="12"/>
    </row>
    <row r="40" spans="7:7">
      <c r="G40" s="12"/>
    </row>
    <row r="41" spans="7:7">
      <c r="G41" s="12"/>
    </row>
    <row r="42" spans="7:7">
      <c r="G42" s="12"/>
    </row>
    <row r="43" spans="7:7">
      <c r="G43" s="12"/>
    </row>
    <row r="44" spans="7:7">
      <c r="G44" s="12"/>
    </row>
    <row r="45" spans="7:7">
      <c r="G45" s="12"/>
    </row>
    <row r="46" spans="7:7">
      <c r="G46" s="12"/>
    </row>
    <row r="47" spans="7:7">
      <c r="G47" s="12"/>
    </row>
    <row r="48" spans="7:7">
      <c r="G48" s="12"/>
    </row>
    <row r="49" spans="7:7">
      <c r="G49" s="12"/>
    </row>
    <row r="50" spans="7:7">
      <c r="G50" s="12"/>
    </row>
    <row r="51" spans="7:7">
      <c r="G51" s="12"/>
    </row>
    <row r="52" spans="7:7">
      <c r="G52" s="12"/>
    </row>
    <row r="53" spans="7:7">
      <c r="G53" s="12"/>
    </row>
    <row r="54" spans="7:7">
      <c r="G54" s="12"/>
    </row>
    <row r="55" spans="7:7">
      <c r="G55" s="12"/>
    </row>
    <row r="56" spans="7:7">
      <c r="G56" s="12"/>
    </row>
    <row r="57" spans="7:7">
      <c r="G57" s="12"/>
    </row>
    <row r="58" spans="7:7">
      <c r="G58" s="12"/>
    </row>
    <row r="59" spans="7:7">
      <c r="G59" s="12"/>
    </row>
    <row r="60" spans="7:7">
      <c r="G60" s="12"/>
    </row>
    <row r="61" spans="7:7">
      <c r="G61" s="12"/>
    </row>
    <row r="62" spans="7:7">
      <c r="G62" s="12"/>
    </row>
    <row r="63" spans="7:7">
      <c r="G63" s="12"/>
    </row>
    <row r="64" spans="7:7">
      <c r="G64" s="12"/>
    </row>
    <row r="65" spans="7:7">
      <c r="G65" s="12"/>
    </row>
    <row r="66" spans="7:7">
      <c r="G66" s="12"/>
    </row>
    <row r="67" spans="7:7">
      <c r="G67" s="12"/>
    </row>
    <row r="68" spans="7:7">
      <c r="G68" s="12"/>
    </row>
    <row r="69" spans="7:7">
      <c r="G69" s="12"/>
    </row>
    <row r="70" spans="7:7">
      <c r="G70" s="12"/>
    </row>
    <row r="71" spans="7:7">
      <c r="G71" s="12"/>
    </row>
    <row r="72" spans="7:7">
      <c r="G72" s="12"/>
    </row>
    <row r="73" spans="7:7">
      <c r="G73" s="12"/>
    </row>
    <row r="74" spans="7:7">
      <c r="G74" s="12"/>
    </row>
    <row r="75" spans="7:7">
      <c r="G75" s="12"/>
    </row>
    <row r="76" spans="7:7">
      <c r="G76" s="12"/>
    </row>
    <row r="77" spans="7:7">
      <c r="G77" s="12"/>
    </row>
    <row r="78" spans="7:7">
      <c r="G78" s="12"/>
    </row>
  </sheetData>
  <pageMargins left="0.18" right="0.17" top="0.78740157480314965" bottom="0.78740157480314965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U78"/>
  <sheetViews>
    <sheetView zoomScaleNormal="100" workbookViewId="0">
      <pane xSplit="3" ySplit="4" topLeftCell="D5" activePane="bottomRight" state="frozen"/>
      <selection pane="topRight" activeCell="C1" sqref="C1"/>
      <selection pane="bottomLeft" activeCell="A5" sqref="A5"/>
      <selection pane="bottomRight" activeCell="H1" sqref="H1"/>
    </sheetView>
  </sheetViews>
  <sheetFormatPr defaultRowHeight="15"/>
  <cols>
    <col min="1" max="1" width="1.7109375" customWidth="1"/>
    <col min="2" max="2" width="25.5703125" customWidth="1"/>
    <col min="3" max="3" width="1.7109375" customWidth="1"/>
    <col min="4" max="4" width="13.7109375" customWidth="1"/>
    <col min="5" max="6" width="8.7109375" customWidth="1"/>
    <col min="7" max="7" width="13.7109375" customWidth="1"/>
    <col min="8" max="9" width="8.7109375" customWidth="1"/>
    <col min="10" max="11" width="11.7109375" customWidth="1"/>
    <col min="12" max="12" width="10.7109375" customWidth="1"/>
    <col min="13" max="13" width="8.7109375" customWidth="1"/>
    <col min="14" max="14" width="13.7109375" customWidth="1"/>
    <col min="15" max="15" width="8.7109375" customWidth="1"/>
    <col min="16" max="16" width="13.7109375" customWidth="1"/>
    <col min="17" max="18" width="2.7109375" customWidth="1"/>
    <col min="19" max="19" width="13.7109375" customWidth="1"/>
    <col min="20" max="20" width="8.7109375" customWidth="1"/>
    <col min="21" max="22" width="13.7109375" customWidth="1"/>
    <col min="23" max="23" width="9.28515625" customWidth="1"/>
    <col min="24" max="25" width="2.7109375" customWidth="1"/>
    <col min="26" max="26" width="13.7109375" customWidth="1"/>
    <col min="28" max="28" width="13.7109375" customWidth="1"/>
  </cols>
  <sheetData>
    <row r="1" spans="2:21" ht="15.75">
      <c r="B1" s="2" t="s">
        <v>0</v>
      </c>
      <c r="J1" s="25"/>
    </row>
    <row r="2" spans="2:21">
      <c r="B2" s="41" t="s">
        <v>34</v>
      </c>
      <c r="D2" s="3" t="s">
        <v>2</v>
      </c>
      <c r="E2" s="5" t="s">
        <v>23</v>
      </c>
      <c r="F2" s="52" t="s">
        <v>36</v>
      </c>
      <c r="G2" s="3" t="s">
        <v>2</v>
      </c>
      <c r="H2" s="5" t="s">
        <v>23</v>
      </c>
      <c r="I2" s="52" t="s">
        <v>36</v>
      </c>
      <c r="J2" s="26" t="s">
        <v>29</v>
      </c>
      <c r="K2" s="1" t="s">
        <v>30</v>
      </c>
      <c r="L2" s="89" t="s">
        <v>39</v>
      </c>
      <c r="M2" s="5"/>
      <c r="N2" s="3"/>
      <c r="O2" s="5"/>
      <c r="P2" s="3"/>
      <c r="S2" s="3"/>
      <c r="T2" s="5"/>
      <c r="U2" s="1"/>
    </row>
    <row r="3" spans="2:21">
      <c r="B3" s="42" t="s">
        <v>1</v>
      </c>
      <c r="D3" s="4" t="s">
        <v>40</v>
      </c>
      <c r="E3" s="23" t="s">
        <v>24</v>
      </c>
      <c r="F3" s="3" t="s">
        <v>37</v>
      </c>
      <c r="G3" s="4" t="s">
        <v>47</v>
      </c>
      <c r="H3" s="6" t="s">
        <v>24</v>
      </c>
      <c r="I3" s="3" t="s">
        <v>37</v>
      </c>
      <c r="J3" s="27" t="s">
        <v>60</v>
      </c>
      <c r="K3" s="24" t="s">
        <v>61</v>
      </c>
      <c r="L3" s="24" t="s">
        <v>61</v>
      </c>
      <c r="M3" s="6"/>
      <c r="N3" s="4"/>
      <c r="O3" s="6"/>
      <c r="P3" s="4"/>
      <c r="S3" s="4"/>
      <c r="T3" s="6"/>
    </row>
    <row r="4" spans="2:21">
      <c r="B4" s="43">
        <v>9402</v>
      </c>
      <c r="D4" s="22" t="s">
        <v>25</v>
      </c>
      <c r="E4" s="3" t="s">
        <v>26</v>
      </c>
      <c r="F4" s="3">
        <f>+'2014'!U4</f>
        <v>10</v>
      </c>
      <c r="G4" s="22" t="s">
        <v>25</v>
      </c>
      <c r="H4" s="3" t="s">
        <v>26</v>
      </c>
      <c r="I4" s="3">
        <f>+'2015'!F4</f>
        <v>10</v>
      </c>
      <c r="J4" s="25"/>
    </row>
    <row r="5" spans="2:21">
      <c r="B5" s="10" t="s">
        <v>3</v>
      </c>
      <c r="C5" s="16"/>
      <c r="D5" s="8">
        <f>+'2014'!Y5</f>
        <v>1142.8320000000001</v>
      </c>
      <c r="E5" s="54">
        <f>+D5/$D$5</f>
        <v>1</v>
      </c>
      <c r="F5" s="85">
        <f>+D5/F4</f>
        <v>114.28320000000001</v>
      </c>
      <c r="G5" s="13">
        <f>+'2015'!Y5</f>
        <v>1264.104</v>
      </c>
      <c r="H5" s="54">
        <f>+G5/$G$5</f>
        <v>1</v>
      </c>
      <c r="I5" s="85">
        <f>+G5/I4</f>
        <v>126.41040000000001</v>
      </c>
      <c r="J5" s="77">
        <f t="shared" ref="J5:J24" si="0">+G5/D5</f>
        <v>1.1061153345373598</v>
      </c>
      <c r="K5" s="78">
        <f>+G5-D5</f>
        <v>121.27199999999993</v>
      </c>
      <c r="L5" s="78">
        <f>+I5-F5</f>
        <v>12.127200000000002</v>
      </c>
      <c r="M5" s="57"/>
    </row>
    <row r="6" spans="2:21">
      <c r="B6" s="7" t="s">
        <v>4</v>
      </c>
      <c r="C6" s="16"/>
      <c r="D6" s="11">
        <f>+'2014'!Y6</f>
        <v>87.573547680000004</v>
      </c>
      <c r="E6" s="55">
        <f>+D6/$D$5</f>
        <v>7.6628540047881055E-2</v>
      </c>
      <c r="F6" s="67">
        <f>+D6/F4</f>
        <v>8.7573547680000008</v>
      </c>
      <c r="G6" s="14">
        <f>+'2015'!Y6</f>
        <v>123.51330000000002</v>
      </c>
      <c r="H6" s="55">
        <f>+G6/$G$5</f>
        <v>9.7708179073873677E-2</v>
      </c>
      <c r="I6" s="67">
        <f>+G6/I4</f>
        <v>12.351330000000001</v>
      </c>
      <c r="J6" s="79">
        <f t="shared" si="0"/>
        <v>1.4103950710244884</v>
      </c>
      <c r="K6" s="80">
        <f>+G6-D6</f>
        <v>35.939752320000011</v>
      </c>
      <c r="L6" s="80">
        <f>+I6-F6</f>
        <v>3.593975232</v>
      </c>
      <c r="M6" s="57"/>
    </row>
    <row r="7" spans="2:21">
      <c r="B7" s="10" t="s">
        <v>7</v>
      </c>
      <c r="C7" s="16"/>
      <c r="D7" s="9">
        <f>+'2014'!Y7</f>
        <v>1055.2584523200001</v>
      </c>
      <c r="E7" s="56">
        <f>+D7/$D$5</f>
        <v>0.92337145995211889</v>
      </c>
      <c r="F7" s="87">
        <f>+F5-F6</f>
        <v>105.52584523200001</v>
      </c>
      <c r="G7" s="8">
        <f>+'2015'!Y7</f>
        <v>1140.5907</v>
      </c>
      <c r="H7" s="56">
        <f>+G7/$G$5</f>
        <v>0.90229182092612625</v>
      </c>
      <c r="I7" s="87">
        <f>+I5-I6</f>
        <v>114.05907000000001</v>
      </c>
      <c r="J7" s="81">
        <f t="shared" si="0"/>
        <v>1.080863837188317</v>
      </c>
      <c r="K7" s="78">
        <f>+G7-D7</f>
        <v>85.332247679999909</v>
      </c>
      <c r="L7" s="78">
        <f>+I7-F7</f>
        <v>8.5332247679999966</v>
      </c>
      <c r="M7" s="57"/>
    </row>
    <row r="8" spans="2:21">
      <c r="B8" s="7" t="s">
        <v>5</v>
      </c>
      <c r="C8" s="16"/>
      <c r="D8" s="11">
        <f>+'2014'!Y8</f>
        <v>1091.5060140000001</v>
      </c>
      <c r="E8" s="55">
        <f>+D8/$D$5</f>
        <v>0.9550887742030324</v>
      </c>
      <c r="F8" s="67">
        <f>+D8/F4</f>
        <v>109.1506014</v>
      </c>
      <c r="G8" s="14">
        <f>+'2015'!Y8</f>
        <v>1163.1300000000001</v>
      </c>
      <c r="H8" s="55">
        <f>+G8/$G$5</f>
        <v>0.9201220785631562</v>
      </c>
      <c r="I8" s="67">
        <f>+G8/I4</f>
        <v>116.31300000000002</v>
      </c>
      <c r="J8" s="79">
        <f t="shared" si="0"/>
        <v>1.065619414901364</v>
      </c>
      <c r="K8" s="80">
        <f>+G8-D8</f>
        <v>71.623986000000059</v>
      </c>
      <c r="L8" s="80">
        <f>+I8-F8</f>
        <v>7.1623986000000173</v>
      </c>
      <c r="M8" s="57"/>
    </row>
    <row r="9" spans="2:21">
      <c r="B9" s="18" t="s">
        <v>13</v>
      </c>
      <c r="C9" s="16"/>
      <c r="D9" s="15">
        <f>+D5-D6-D8</f>
        <v>-36.24756167999999</v>
      </c>
      <c r="E9" s="54">
        <f>+D9/$D$5</f>
        <v>-3.1717314250913509E-2</v>
      </c>
      <c r="F9" s="15">
        <f>+F5-F6-F8</f>
        <v>-3.6247561679999905</v>
      </c>
      <c r="G9" s="15">
        <f>+G5-G6-G8</f>
        <v>-22.539300000000139</v>
      </c>
      <c r="H9" s="54">
        <f>+G9/$G$5</f>
        <v>-1.7830257637029973E-2</v>
      </c>
      <c r="I9" s="15">
        <f>+I5-I6-I8</f>
        <v>-2.2539300000000111</v>
      </c>
      <c r="J9" s="81">
        <f t="shared" si="0"/>
        <v>0.62181561890924264</v>
      </c>
      <c r="K9" s="78">
        <f>+G9-D9</f>
        <v>13.70826167999985</v>
      </c>
      <c r="L9" s="78">
        <f>+I9-F9</f>
        <v>1.3708261679999794</v>
      </c>
      <c r="M9" s="57"/>
    </row>
    <row r="10" spans="2:21" ht="7.5" customHeight="1">
      <c r="B10" s="16"/>
      <c r="C10" s="16"/>
      <c r="D10" s="32"/>
      <c r="E10" s="57"/>
      <c r="F10" s="57"/>
      <c r="G10" s="28"/>
      <c r="H10" s="57"/>
      <c r="I10" s="57"/>
      <c r="J10" s="82"/>
      <c r="K10" s="57"/>
      <c r="L10" s="57"/>
      <c r="M10" s="57"/>
    </row>
    <row r="11" spans="2:21">
      <c r="B11" s="17" t="s">
        <v>17</v>
      </c>
      <c r="C11" s="16"/>
      <c r="D11" s="32">
        <f>+'2014'!Y11</f>
        <v>28</v>
      </c>
      <c r="E11" s="57"/>
      <c r="F11" s="67">
        <f>+D11/F4</f>
        <v>2.8</v>
      </c>
      <c r="G11" s="28">
        <f>+'2015'!Y11</f>
        <v>27</v>
      </c>
      <c r="H11" s="57"/>
      <c r="I11" s="67">
        <f>+G11/I4</f>
        <v>2.7</v>
      </c>
      <c r="J11" s="79">
        <f t="shared" si="0"/>
        <v>0.9642857142857143</v>
      </c>
      <c r="K11" s="80">
        <f t="shared" ref="K11:K16" si="1">+G11-D11</f>
        <v>-1</v>
      </c>
      <c r="L11" s="80">
        <f>+I11-F11</f>
        <v>-9.9999999999999645E-2</v>
      </c>
      <c r="M11" s="57"/>
    </row>
    <row r="12" spans="2:21">
      <c r="B12" s="17" t="s">
        <v>14</v>
      </c>
      <c r="C12" s="16"/>
      <c r="D12" s="32">
        <f>+'2014'!Y12</f>
        <v>790.21401400000002</v>
      </c>
      <c r="E12" s="57"/>
      <c r="F12" s="67">
        <f>+D12/F4</f>
        <v>79.021401400000002</v>
      </c>
      <c r="G12" s="14">
        <f>+'2015'!Y12</f>
        <v>1000.277</v>
      </c>
      <c r="H12" s="57"/>
      <c r="I12" s="67">
        <f>+G12/I4</f>
        <v>100.02770000000001</v>
      </c>
      <c r="J12" s="79">
        <f t="shared" si="0"/>
        <v>1.2658304994322715</v>
      </c>
      <c r="K12" s="80">
        <f t="shared" si="1"/>
        <v>210.06298600000002</v>
      </c>
      <c r="L12" s="80">
        <f>+I12-F12</f>
        <v>21.006298600000008</v>
      </c>
      <c r="M12" s="57"/>
    </row>
    <row r="13" spans="2:21">
      <c r="B13" s="18" t="s">
        <v>19</v>
      </c>
      <c r="C13" s="16"/>
      <c r="D13" s="33">
        <f>+D12/D5</f>
        <v>0.69145247420443245</v>
      </c>
      <c r="E13" s="57"/>
      <c r="F13" s="33"/>
      <c r="G13" s="33">
        <f>+G12/G5</f>
        <v>0.79129327966686291</v>
      </c>
      <c r="H13" s="57"/>
      <c r="I13" s="33"/>
      <c r="J13" s="77">
        <f t="shared" si="0"/>
        <v>1.1443928674596251</v>
      </c>
      <c r="K13" s="54">
        <f t="shared" si="1"/>
        <v>9.984080546243046E-2</v>
      </c>
      <c r="L13" s="57"/>
      <c r="M13" s="57"/>
    </row>
    <row r="14" spans="2:21">
      <c r="B14" s="18" t="s">
        <v>15</v>
      </c>
      <c r="C14" s="16"/>
      <c r="D14" s="8">
        <f>+D5/D11</f>
        <v>40.815428571428576</v>
      </c>
      <c r="E14" s="57"/>
      <c r="F14" s="8"/>
      <c r="G14" s="8">
        <f>+G5/G11</f>
        <v>46.818666666666665</v>
      </c>
      <c r="H14" s="57"/>
      <c r="I14" s="8"/>
      <c r="J14" s="77">
        <f t="shared" si="0"/>
        <v>1.1470825691498545</v>
      </c>
      <c r="K14" s="78">
        <f t="shared" si="1"/>
        <v>6.003238095238089</v>
      </c>
      <c r="L14" s="57"/>
      <c r="M14" s="57"/>
    </row>
    <row r="15" spans="2:21">
      <c r="B15" s="10" t="s">
        <v>33</v>
      </c>
      <c r="C15" s="16"/>
      <c r="D15" s="8">
        <f>+D12/D11</f>
        <v>28.221929071428573</v>
      </c>
      <c r="E15" s="57"/>
      <c r="F15" s="8"/>
      <c r="G15" s="8">
        <f>+G12/G11</f>
        <v>37.047296296296295</v>
      </c>
      <c r="H15" s="57"/>
      <c r="I15" s="8"/>
      <c r="J15" s="77">
        <f t="shared" si="0"/>
        <v>1.3127131105223555</v>
      </c>
      <c r="K15" s="78">
        <f t="shared" si="1"/>
        <v>8.8253672248677226</v>
      </c>
      <c r="L15" s="57"/>
      <c r="M15" s="57"/>
    </row>
    <row r="16" spans="2:21">
      <c r="B16" s="18" t="s">
        <v>20</v>
      </c>
      <c r="C16" s="16"/>
      <c r="D16" s="33">
        <f>+D12/D7</f>
        <v>0.74883457437626177</v>
      </c>
      <c r="E16" s="57"/>
      <c r="F16" s="33"/>
      <c r="G16" s="33">
        <f>+G12/G7</f>
        <v>0.87698154999861044</v>
      </c>
      <c r="H16" s="57"/>
      <c r="I16" s="33"/>
      <c r="J16" s="77">
        <f t="shared" si="0"/>
        <v>1.1711285509607887</v>
      </c>
      <c r="K16" s="54">
        <f t="shared" si="1"/>
        <v>0.12814697562234867</v>
      </c>
      <c r="L16" s="57"/>
      <c r="M16" s="57"/>
    </row>
    <row r="17" spans="2:13" ht="7.5" customHeight="1">
      <c r="B17" s="7"/>
      <c r="C17" s="16"/>
      <c r="D17" s="32"/>
      <c r="E17" s="57"/>
      <c r="F17" s="57"/>
      <c r="G17" s="28"/>
      <c r="H17" s="57"/>
      <c r="I17" s="57"/>
      <c r="J17" s="82"/>
      <c r="K17" s="57"/>
      <c r="L17" s="57"/>
      <c r="M17" s="57"/>
    </row>
    <row r="18" spans="2:13">
      <c r="B18" s="17" t="s">
        <v>22</v>
      </c>
      <c r="C18" s="16"/>
      <c r="D18" s="11">
        <f>+'2014'!Y18</f>
        <v>9906.2199999999993</v>
      </c>
      <c r="E18" s="58">
        <f>+'2014'!Z18</f>
        <v>9906.2199999999993</v>
      </c>
      <c r="F18" s="67">
        <f>+D18/F4</f>
        <v>990.62199999999996</v>
      </c>
      <c r="G18" s="14">
        <f>+'2015'!Y18</f>
        <v>10950</v>
      </c>
      <c r="H18" s="67">
        <f>+'2015'!Z18</f>
        <v>10950</v>
      </c>
      <c r="I18" s="67">
        <f>+G18/I4</f>
        <v>1095</v>
      </c>
      <c r="J18" s="79">
        <f t="shared" si="0"/>
        <v>1.1053661235062415</v>
      </c>
      <c r="K18" s="80">
        <f t="shared" ref="K18:K24" si="2">+G18-D18</f>
        <v>1043.7800000000007</v>
      </c>
      <c r="L18" s="80">
        <f>+I18-F18</f>
        <v>104.37800000000004</v>
      </c>
      <c r="M18" s="57"/>
    </row>
    <row r="19" spans="2:13">
      <c r="B19" s="17" t="s">
        <v>16</v>
      </c>
      <c r="C19" s="16"/>
      <c r="D19" s="11">
        <f>+'2014'!Y19</f>
        <v>865.30970000000002</v>
      </c>
      <c r="E19" s="58">
        <f>+'2014'!Z19</f>
        <v>865.30970000000002</v>
      </c>
      <c r="F19" s="67">
        <f>+D19/F4</f>
        <v>86.530969999999996</v>
      </c>
      <c r="G19" s="14">
        <f>+'2015'!Y19</f>
        <v>988.01</v>
      </c>
      <c r="H19" s="67">
        <f>+'2015'!Z19</f>
        <v>988.01</v>
      </c>
      <c r="I19" s="67">
        <f>+G19/I4</f>
        <v>98.801000000000002</v>
      </c>
      <c r="J19" s="79">
        <f t="shared" si="0"/>
        <v>1.1417992887402049</v>
      </c>
      <c r="K19" s="80">
        <f t="shared" si="2"/>
        <v>122.70029999999997</v>
      </c>
      <c r="L19" s="80">
        <f>+I19-F19</f>
        <v>12.270030000000006</v>
      </c>
      <c r="M19" s="57"/>
    </row>
    <row r="20" spans="2:13">
      <c r="B20" s="17" t="s">
        <v>27</v>
      </c>
      <c r="C20" s="16"/>
      <c r="D20" s="11">
        <f>+'2014'!Y20</f>
        <v>31.692630000000001</v>
      </c>
      <c r="E20" s="58">
        <f>+'2014'!Z20</f>
        <v>31.692630000000001</v>
      </c>
      <c r="F20" s="67">
        <f>+D20/F4</f>
        <v>3.1692629999999999</v>
      </c>
      <c r="G20" s="14">
        <f>+'2015'!Y20</f>
        <v>28.427099999999999</v>
      </c>
      <c r="H20" s="67">
        <f>+'2015'!Z20</f>
        <v>28.427289999999999</v>
      </c>
      <c r="I20" s="67">
        <f>+G20/I4</f>
        <v>2.8427099999999998</v>
      </c>
      <c r="J20" s="79">
        <f t="shared" si="0"/>
        <v>0.89696247992041045</v>
      </c>
      <c r="K20" s="80">
        <f t="shared" si="2"/>
        <v>-3.2655300000000018</v>
      </c>
      <c r="L20" s="80">
        <f>+I20-F20</f>
        <v>-0.32655300000000009</v>
      </c>
      <c r="M20" s="57"/>
    </row>
    <row r="21" spans="2:13">
      <c r="B21" s="18" t="s">
        <v>18</v>
      </c>
      <c r="C21" s="16"/>
      <c r="D21" s="44">
        <f>+D20/D19*1000</f>
        <v>36.625765318474997</v>
      </c>
      <c r="E21" s="60">
        <f>+E20/E19*1000</f>
        <v>36.625765318474997</v>
      </c>
      <c r="F21" s="60"/>
      <c r="G21" s="44">
        <f>+G20/G19*1000</f>
        <v>28.772077205696299</v>
      </c>
      <c r="H21" s="75">
        <f>+H20/H19*1000</f>
        <v>28.77226951144219</v>
      </c>
      <c r="I21" s="60"/>
      <c r="J21" s="77">
        <f t="shared" si="0"/>
        <v>0.78556931044340272</v>
      </c>
      <c r="K21" s="78">
        <f t="shared" si="2"/>
        <v>-7.8536881127786984</v>
      </c>
      <c r="L21" s="83">
        <f>+H21/E21</f>
        <v>0.78557456100251655</v>
      </c>
      <c r="M21" s="84">
        <f>+H21-E21</f>
        <v>-7.8534958070328074</v>
      </c>
    </row>
    <row r="22" spans="2:13">
      <c r="B22" s="18" t="s">
        <v>21</v>
      </c>
      <c r="C22" s="16"/>
      <c r="D22" s="46">
        <f>+D19/D18</f>
        <v>8.7350139609255611E-2</v>
      </c>
      <c r="E22" s="46">
        <f>+E19/E18</f>
        <v>8.7350139609255611E-2</v>
      </c>
      <c r="F22" s="61"/>
      <c r="G22" s="53">
        <f>+G19/G18</f>
        <v>9.0229223744292236E-2</v>
      </c>
      <c r="H22" s="46">
        <f>+H19/H18</f>
        <v>9.0229223744292236E-2</v>
      </c>
      <c r="I22" s="61"/>
      <c r="J22" s="77">
        <f t="shared" si="0"/>
        <v>1.0329602694158895</v>
      </c>
      <c r="K22" s="78">
        <f t="shared" si="2"/>
        <v>2.8790841350366247E-3</v>
      </c>
      <c r="L22" s="57"/>
      <c r="M22" s="57"/>
    </row>
    <row r="23" spans="2:13">
      <c r="B23" s="10" t="s">
        <v>28</v>
      </c>
      <c r="C23" s="10"/>
      <c r="D23" s="48">
        <f>+D20*1000/(D18*D21)*100</f>
        <v>8.7350139609255599</v>
      </c>
      <c r="E23" s="48">
        <f>+E20*1000/(E18*E21)*100</f>
        <v>8.7350139609255599</v>
      </c>
      <c r="F23" s="62"/>
      <c r="G23" s="48">
        <f>+G20/(G18*G21)*1000*100</f>
        <v>9.0229223744292231</v>
      </c>
      <c r="H23" s="48">
        <f>+H20*1000/(H18*H21)*100</f>
        <v>9.0229223744292248</v>
      </c>
      <c r="I23" s="62"/>
      <c r="J23" s="77">
        <f t="shared" si="0"/>
        <v>1.0329602694158895</v>
      </c>
      <c r="K23" s="78">
        <f t="shared" si="2"/>
        <v>0.28790841350366314</v>
      </c>
      <c r="L23" s="57"/>
      <c r="M23" s="57"/>
    </row>
    <row r="24" spans="2:13">
      <c r="B24" s="18" t="s">
        <v>38</v>
      </c>
      <c r="C24" s="10"/>
      <c r="D24" s="48">
        <f>+D20/D18*1000</f>
        <v>3.1992657138646226</v>
      </c>
      <c r="E24" s="48">
        <f>+E20/E18*1000</f>
        <v>3.1992657138646226</v>
      </c>
      <c r="F24" s="62"/>
      <c r="G24" s="48">
        <f>+G20/G18*1000</f>
        <v>2.5960821917808219</v>
      </c>
      <c r="H24" s="48">
        <f>+H20/H18*1000</f>
        <v>2.5960995433789953</v>
      </c>
      <c r="I24" s="62"/>
      <c r="J24" s="77">
        <f t="shared" si="0"/>
        <v>0.81146188656047202</v>
      </c>
      <c r="K24" s="78">
        <f t="shared" si="2"/>
        <v>-0.60318352208380066</v>
      </c>
      <c r="L24" s="57"/>
      <c r="M24" s="57"/>
    </row>
    <row r="25" spans="2:13" ht="7.5" customHeight="1">
      <c r="B25" s="16"/>
      <c r="C25" s="38"/>
      <c r="D25" s="38"/>
      <c r="E25" s="57"/>
      <c r="F25" s="62"/>
      <c r="G25" s="39"/>
      <c r="H25" s="57"/>
      <c r="I25" s="57"/>
      <c r="J25" s="82"/>
      <c r="K25" s="57"/>
      <c r="L25" s="57"/>
      <c r="M25" s="57"/>
    </row>
    <row r="26" spans="2:13">
      <c r="B26" s="20" t="s">
        <v>35</v>
      </c>
      <c r="C26" s="40"/>
      <c r="D26" s="21">
        <f>+D8/(1-D6/D5)</f>
        <v>1182.0876660586841</v>
      </c>
      <c r="E26" s="57"/>
      <c r="F26" s="57"/>
      <c r="G26" s="21">
        <f>+G8/(1-G6/G5)</f>
        <v>1289.084055761633</v>
      </c>
      <c r="H26" s="57"/>
      <c r="I26" s="57"/>
      <c r="J26" s="37">
        <f>+G26/D26</f>
        <v>1.0905147670305166</v>
      </c>
      <c r="K26" s="21">
        <f>+G26-D26</f>
        <v>106.99638970294882</v>
      </c>
      <c r="L26" s="57"/>
      <c r="M26" s="57"/>
    </row>
    <row r="27" spans="2:13">
      <c r="G27" s="12"/>
    </row>
    <row r="28" spans="2:13">
      <c r="G28" s="12"/>
    </row>
    <row r="29" spans="2:13">
      <c r="G29" s="12"/>
    </row>
    <row r="30" spans="2:13">
      <c r="G30" s="12"/>
    </row>
    <row r="31" spans="2:13">
      <c r="G31" s="12"/>
    </row>
    <row r="32" spans="2:13">
      <c r="G32" s="12"/>
    </row>
    <row r="33" spans="7:7">
      <c r="G33" s="12"/>
    </row>
    <row r="34" spans="7:7">
      <c r="G34" s="12"/>
    </row>
    <row r="35" spans="7:7">
      <c r="G35" s="12"/>
    </row>
    <row r="36" spans="7:7">
      <c r="G36" s="12"/>
    </row>
    <row r="37" spans="7:7">
      <c r="G37" s="12"/>
    </row>
    <row r="38" spans="7:7">
      <c r="G38" s="12"/>
    </row>
    <row r="39" spans="7:7">
      <c r="G39" s="12"/>
    </row>
    <row r="40" spans="7:7">
      <c r="G40" s="12"/>
    </row>
    <row r="41" spans="7:7">
      <c r="G41" s="12"/>
    </row>
    <row r="42" spans="7:7">
      <c r="G42" s="12"/>
    </row>
    <row r="43" spans="7:7">
      <c r="G43" s="12"/>
    </row>
    <row r="44" spans="7:7">
      <c r="G44" s="12"/>
    </row>
    <row r="45" spans="7:7">
      <c r="G45" s="12"/>
    </row>
    <row r="46" spans="7:7">
      <c r="G46" s="12"/>
    </row>
    <row r="47" spans="7:7">
      <c r="G47" s="12"/>
    </row>
    <row r="48" spans="7:7">
      <c r="G48" s="12"/>
    </row>
    <row r="49" spans="7:7">
      <c r="G49" s="12"/>
    </row>
    <row r="50" spans="7:7">
      <c r="G50" s="12"/>
    </row>
    <row r="51" spans="7:7">
      <c r="G51" s="12"/>
    </row>
    <row r="52" spans="7:7">
      <c r="G52" s="12"/>
    </row>
    <row r="53" spans="7:7">
      <c r="G53" s="12"/>
    </row>
    <row r="54" spans="7:7">
      <c r="G54" s="12"/>
    </row>
    <row r="55" spans="7:7">
      <c r="G55" s="12"/>
    </row>
    <row r="56" spans="7:7">
      <c r="G56" s="12"/>
    </row>
    <row r="57" spans="7:7">
      <c r="G57" s="12"/>
    </row>
    <row r="58" spans="7:7">
      <c r="G58" s="12"/>
    </row>
    <row r="59" spans="7:7">
      <c r="G59" s="12"/>
    </row>
    <row r="60" spans="7:7">
      <c r="G60" s="12"/>
    </row>
    <row r="61" spans="7:7">
      <c r="G61" s="12"/>
    </row>
    <row r="62" spans="7:7">
      <c r="G62" s="12"/>
    </row>
    <row r="63" spans="7:7">
      <c r="G63" s="12"/>
    </row>
    <row r="64" spans="7:7">
      <c r="G64" s="12"/>
    </row>
    <row r="65" spans="7:7">
      <c r="G65" s="12"/>
    </row>
    <row r="66" spans="7:7">
      <c r="G66" s="12"/>
    </row>
    <row r="67" spans="7:7">
      <c r="G67" s="12"/>
    </row>
    <row r="68" spans="7:7">
      <c r="G68" s="12"/>
    </row>
    <row r="69" spans="7:7">
      <c r="G69" s="12"/>
    </row>
    <row r="70" spans="7:7">
      <c r="G70" s="12"/>
    </row>
    <row r="71" spans="7:7">
      <c r="G71" s="12"/>
    </row>
    <row r="72" spans="7:7">
      <c r="G72" s="12"/>
    </row>
    <row r="73" spans="7:7">
      <c r="G73" s="12"/>
    </row>
    <row r="74" spans="7:7">
      <c r="G74" s="12"/>
    </row>
    <row r="75" spans="7:7">
      <c r="G75" s="12"/>
    </row>
    <row r="76" spans="7:7">
      <c r="G76" s="12"/>
    </row>
    <row r="77" spans="7:7">
      <c r="G77" s="12"/>
    </row>
    <row r="78" spans="7:7">
      <c r="G78" s="12"/>
    </row>
  </sheetData>
  <pageMargins left="0.23622047244094491" right="0.23622047244094491" top="0.78740157480314965" bottom="0.78740157480314965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B1:AU78"/>
  <sheetViews>
    <sheetView zoomScaleNormal="100" workbookViewId="0">
      <pane xSplit="3" ySplit="4" topLeftCell="S5" activePane="bottomRight" state="frozen"/>
      <selection pane="topRight" activeCell="C1" sqref="C1"/>
      <selection pane="bottomLeft" activeCell="A5" sqref="A5"/>
      <selection pane="bottomRight" activeCell="Z20" sqref="Z20"/>
    </sheetView>
  </sheetViews>
  <sheetFormatPr defaultRowHeight="15"/>
  <cols>
    <col min="1" max="1" width="1.7109375" customWidth="1"/>
    <col min="2" max="2" width="25.5703125" customWidth="1"/>
    <col min="3" max="3" width="1.7109375" customWidth="1"/>
    <col min="4" max="4" width="13.7109375" customWidth="1"/>
    <col min="5" max="5" width="8.7109375" customWidth="1"/>
    <col min="6" max="6" width="5.7109375" customWidth="1"/>
    <col min="7" max="7" width="13.7109375" customWidth="1"/>
    <col min="8" max="8" width="8.7109375" customWidth="1"/>
    <col min="9" max="9" width="5.7109375" customWidth="1"/>
    <col min="10" max="10" width="13.7109375" customWidth="1"/>
    <col min="11" max="11" width="8.7109375" customWidth="1"/>
    <col min="12" max="12" width="5.7109375" customWidth="1"/>
    <col min="13" max="13" width="13.7109375" customWidth="1"/>
    <col min="14" max="14" width="8.7109375" customWidth="1"/>
    <col min="15" max="15" width="5.7109375" customWidth="1"/>
    <col min="16" max="16" width="13.7109375" customWidth="1"/>
    <col min="17" max="17" width="8.7109375" customWidth="1"/>
    <col min="18" max="18" width="5.7109375" customWidth="1"/>
    <col min="19" max="19" width="13.7109375" customWidth="1"/>
    <col min="20" max="20" width="8.7109375" customWidth="1"/>
    <col min="21" max="21" width="5.7109375" customWidth="1"/>
    <col min="22" max="22" width="13.7109375" customWidth="1"/>
    <col min="23" max="23" width="8.7109375" customWidth="1"/>
    <col min="24" max="24" width="5.7109375" customWidth="1"/>
    <col min="25" max="25" width="13.7109375" customWidth="1"/>
    <col min="26" max="26" width="8.7109375" customWidth="1"/>
    <col min="27" max="27" width="5.7109375" customWidth="1"/>
    <col min="28" max="28" width="13.7109375" customWidth="1"/>
    <col min="29" max="29" width="8.7109375" customWidth="1"/>
    <col min="30" max="30" width="5.7109375" customWidth="1"/>
    <col min="31" max="31" width="13.7109375" customWidth="1"/>
    <col min="32" max="32" width="8.7109375" customWidth="1"/>
    <col min="33" max="33" width="5.7109375" customWidth="1"/>
    <col min="34" max="34" width="13.7109375" customWidth="1"/>
    <col min="35" max="35" width="8.7109375" customWidth="1"/>
    <col min="36" max="36" width="5.7109375" customWidth="1"/>
    <col min="37" max="37" width="13.7109375" customWidth="1"/>
    <col min="38" max="38" width="8.7109375" customWidth="1"/>
    <col min="39" max="39" width="5.7109375" customWidth="1"/>
    <col min="40" max="41" width="2.7109375" customWidth="1"/>
    <col min="42" max="42" width="13.7109375" customWidth="1"/>
    <col min="43" max="43" width="8.7109375" customWidth="1"/>
    <col min="44" max="44" width="5.7109375" customWidth="1"/>
    <col min="45" max="45" width="13.7109375" customWidth="1"/>
    <col min="46" max="46" width="8.7109375" customWidth="1"/>
    <col min="47" max="47" width="5.7109375" customWidth="1"/>
    <col min="48" max="49" width="2.7109375" customWidth="1"/>
    <col min="50" max="50" width="13.7109375" customWidth="1"/>
    <col min="52" max="52" width="13.7109375" customWidth="1"/>
  </cols>
  <sheetData>
    <row r="1" spans="2:47" ht="15.75">
      <c r="B1" s="2" t="s">
        <v>0</v>
      </c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1"/>
      <c r="Z1" s="51"/>
      <c r="AA1" s="51"/>
      <c r="AB1" s="50"/>
      <c r="AC1" s="50"/>
      <c r="AD1" s="50"/>
      <c r="AE1" s="50"/>
      <c r="AF1" s="50"/>
      <c r="AG1" s="50"/>
      <c r="AH1" s="50"/>
      <c r="AI1" s="50"/>
      <c r="AJ1" s="50"/>
      <c r="AK1" s="50"/>
      <c r="AL1" s="50"/>
      <c r="AM1" s="50"/>
      <c r="AN1" s="50"/>
      <c r="AO1" s="50"/>
      <c r="AP1" s="50"/>
      <c r="AQ1" s="50"/>
      <c r="AR1" s="50"/>
      <c r="AS1" s="50"/>
      <c r="AT1" s="50"/>
    </row>
    <row r="2" spans="2:47">
      <c r="B2" s="41" t="s">
        <v>34</v>
      </c>
      <c r="C2" s="50"/>
      <c r="D2" s="34" t="s">
        <v>2</v>
      </c>
      <c r="E2" s="52" t="s">
        <v>23</v>
      </c>
      <c r="F2" s="52" t="s">
        <v>36</v>
      </c>
      <c r="G2" s="34" t="s">
        <v>2</v>
      </c>
      <c r="H2" s="52" t="s">
        <v>23</v>
      </c>
      <c r="I2" s="52" t="s">
        <v>36</v>
      </c>
      <c r="J2" s="34" t="s">
        <v>2</v>
      </c>
      <c r="K2" s="52" t="s">
        <v>23</v>
      </c>
      <c r="L2" s="52" t="s">
        <v>36</v>
      </c>
      <c r="M2" s="34" t="s">
        <v>2</v>
      </c>
      <c r="N2" s="52" t="s">
        <v>23</v>
      </c>
      <c r="O2" s="52" t="s">
        <v>36</v>
      </c>
      <c r="P2" s="34" t="s">
        <v>2</v>
      </c>
      <c r="Q2" s="52" t="s">
        <v>23</v>
      </c>
      <c r="R2" s="52" t="s">
        <v>36</v>
      </c>
      <c r="S2" s="34" t="s">
        <v>2</v>
      </c>
      <c r="T2" s="52" t="s">
        <v>23</v>
      </c>
      <c r="U2" s="52" t="s">
        <v>36</v>
      </c>
      <c r="V2" s="34" t="s">
        <v>2</v>
      </c>
      <c r="W2" s="72" t="s">
        <v>23</v>
      </c>
      <c r="X2" s="52" t="s">
        <v>36</v>
      </c>
      <c r="Y2" s="34" t="s">
        <v>2</v>
      </c>
      <c r="Z2" s="72" t="s">
        <v>23</v>
      </c>
      <c r="AA2" s="52" t="s">
        <v>36</v>
      </c>
      <c r="AB2" s="3" t="s">
        <v>2</v>
      </c>
      <c r="AC2" s="72" t="s">
        <v>23</v>
      </c>
      <c r="AD2" s="52" t="s">
        <v>36</v>
      </c>
      <c r="AE2" s="3" t="s">
        <v>2</v>
      </c>
      <c r="AF2" s="72" t="s">
        <v>23</v>
      </c>
      <c r="AG2" s="52" t="s">
        <v>36</v>
      </c>
      <c r="AH2" s="3" t="s">
        <v>2</v>
      </c>
      <c r="AI2" s="72" t="s">
        <v>23</v>
      </c>
      <c r="AJ2" s="52" t="s">
        <v>36</v>
      </c>
      <c r="AK2" s="3" t="s">
        <v>2</v>
      </c>
      <c r="AL2" s="72" t="s">
        <v>23</v>
      </c>
      <c r="AM2" s="52" t="s">
        <v>36</v>
      </c>
      <c r="AN2" s="50"/>
      <c r="AO2" s="50"/>
      <c r="AP2" s="3" t="s">
        <v>2</v>
      </c>
      <c r="AQ2" s="52" t="s">
        <v>23</v>
      </c>
      <c r="AR2" s="52" t="s">
        <v>36</v>
      </c>
      <c r="AS2" s="42" t="s">
        <v>12</v>
      </c>
      <c r="AT2" s="50"/>
      <c r="AU2" s="52" t="s">
        <v>36</v>
      </c>
    </row>
    <row r="3" spans="2:47">
      <c r="B3" s="42" t="s">
        <v>1</v>
      </c>
      <c r="C3" s="50"/>
      <c r="D3" s="90" t="s">
        <v>55</v>
      </c>
      <c r="E3" s="23" t="s">
        <v>24</v>
      </c>
      <c r="F3" s="3" t="s">
        <v>37</v>
      </c>
      <c r="G3" s="90" t="s">
        <v>56</v>
      </c>
      <c r="H3" s="23" t="s">
        <v>24</v>
      </c>
      <c r="I3" s="3" t="s">
        <v>37</v>
      </c>
      <c r="J3" s="90" t="s">
        <v>57</v>
      </c>
      <c r="K3" s="23" t="s">
        <v>24</v>
      </c>
      <c r="L3" s="3" t="s">
        <v>37</v>
      </c>
      <c r="M3" s="90" t="s">
        <v>58</v>
      </c>
      <c r="N3" s="23" t="s">
        <v>24</v>
      </c>
      <c r="O3" s="3" t="s">
        <v>37</v>
      </c>
      <c r="P3" s="90" t="s">
        <v>59</v>
      </c>
      <c r="Q3" s="23" t="s">
        <v>24</v>
      </c>
      <c r="R3" s="3" t="s">
        <v>37</v>
      </c>
      <c r="S3" s="90" t="s">
        <v>42</v>
      </c>
      <c r="T3" s="23" t="s">
        <v>24</v>
      </c>
      <c r="U3" s="3" t="s">
        <v>37</v>
      </c>
      <c r="V3" s="90" t="s">
        <v>41</v>
      </c>
      <c r="W3" s="73" t="s">
        <v>24</v>
      </c>
      <c r="X3" s="3" t="s">
        <v>37</v>
      </c>
      <c r="Y3" s="90" t="s">
        <v>40</v>
      </c>
      <c r="Z3" s="73" t="s">
        <v>24</v>
      </c>
      <c r="AA3" s="3" t="s">
        <v>37</v>
      </c>
      <c r="AB3" s="4" t="s">
        <v>6</v>
      </c>
      <c r="AC3" s="73" t="s">
        <v>24</v>
      </c>
      <c r="AD3" s="3" t="s">
        <v>37</v>
      </c>
      <c r="AE3" s="4" t="s">
        <v>8</v>
      </c>
      <c r="AF3" s="73" t="s">
        <v>24</v>
      </c>
      <c r="AG3" s="3" t="s">
        <v>37</v>
      </c>
      <c r="AH3" s="4" t="s">
        <v>9</v>
      </c>
      <c r="AI3" s="73" t="s">
        <v>24</v>
      </c>
      <c r="AJ3" s="3" t="s">
        <v>37</v>
      </c>
      <c r="AK3" s="4" t="s">
        <v>10</v>
      </c>
      <c r="AL3" s="73" t="s">
        <v>24</v>
      </c>
      <c r="AM3" s="3" t="s">
        <v>37</v>
      </c>
      <c r="AN3" s="50"/>
      <c r="AO3" s="50"/>
      <c r="AP3" s="4" t="s">
        <v>11</v>
      </c>
      <c r="AQ3" s="23" t="s">
        <v>24</v>
      </c>
      <c r="AR3" s="3" t="s">
        <v>37</v>
      </c>
      <c r="AS3" s="42" t="s">
        <v>31</v>
      </c>
      <c r="AT3" s="23" t="s">
        <v>24</v>
      </c>
      <c r="AU3" s="3" t="s">
        <v>37</v>
      </c>
    </row>
    <row r="4" spans="2:47">
      <c r="B4" s="43">
        <v>9402</v>
      </c>
      <c r="C4" s="50"/>
      <c r="D4" s="42"/>
      <c r="E4" s="3" t="s">
        <v>26</v>
      </c>
      <c r="F4" s="3">
        <v>10</v>
      </c>
      <c r="G4" s="42"/>
      <c r="H4" s="3" t="s">
        <v>26</v>
      </c>
      <c r="I4" s="3">
        <v>10</v>
      </c>
      <c r="J4" s="42"/>
      <c r="K4" s="3" t="s">
        <v>26</v>
      </c>
      <c r="L4" s="3">
        <v>10</v>
      </c>
      <c r="M4" s="42"/>
      <c r="N4" s="3" t="s">
        <v>26</v>
      </c>
      <c r="O4" s="3">
        <v>10</v>
      </c>
      <c r="P4" s="42"/>
      <c r="Q4" s="3" t="s">
        <v>26</v>
      </c>
      <c r="R4" s="3">
        <v>10</v>
      </c>
      <c r="S4" s="42"/>
      <c r="T4" s="3" t="s">
        <v>26</v>
      </c>
      <c r="U4" s="3">
        <v>10</v>
      </c>
      <c r="V4" s="91"/>
      <c r="W4" s="34" t="s">
        <v>26</v>
      </c>
      <c r="X4" s="3">
        <v>10</v>
      </c>
      <c r="Y4" s="91"/>
      <c r="Z4" s="34" t="s">
        <v>26</v>
      </c>
      <c r="AA4" s="3">
        <v>10</v>
      </c>
      <c r="AB4" s="50"/>
      <c r="AC4" s="34" t="s">
        <v>26</v>
      </c>
      <c r="AD4" s="3">
        <v>0</v>
      </c>
      <c r="AE4" s="50"/>
      <c r="AF4" s="34" t="s">
        <v>26</v>
      </c>
      <c r="AG4" s="3">
        <v>0</v>
      </c>
      <c r="AH4" s="50"/>
      <c r="AI4" s="34" t="s">
        <v>26</v>
      </c>
      <c r="AJ4" s="3">
        <v>0</v>
      </c>
      <c r="AK4" s="50"/>
      <c r="AL4" s="34" t="s">
        <v>26</v>
      </c>
      <c r="AM4" s="3">
        <v>0</v>
      </c>
      <c r="AN4" s="50"/>
      <c r="AO4" s="50"/>
      <c r="AP4" s="50"/>
      <c r="AQ4" s="3" t="s">
        <v>26</v>
      </c>
      <c r="AR4" s="3">
        <f>+(+AD4+AG4+AJ4+AM4+AA4+X4+U4+R4+O4+L4+I4+F4)/AS4</f>
        <v>10</v>
      </c>
      <c r="AS4" s="42">
        <v>8</v>
      </c>
      <c r="AT4" s="3" t="s">
        <v>26</v>
      </c>
      <c r="AU4" s="3">
        <f>+AR4</f>
        <v>10</v>
      </c>
    </row>
    <row r="5" spans="2:47">
      <c r="B5" s="10" t="s">
        <v>3</v>
      </c>
      <c r="C5" s="16"/>
      <c r="D5" s="9">
        <v>1028.115</v>
      </c>
      <c r="E5" s="54">
        <f>+D5/D5</f>
        <v>1</v>
      </c>
      <c r="F5" s="85">
        <f>+D5/F4</f>
        <v>102.8115</v>
      </c>
      <c r="G5" s="9">
        <v>980.32500000000005</v>
      </c>
      <c r="H5" s="54">
        <f>+G5/G5</f>
        <v>1</v>
      </c>
      <c r="I5" s="85">
        <f>+G5/I4</f>
        <v>98.032499999999999</v>
      </c>
      <c r="J5" s="9">
        <v>1055.19</v>
      </c>
      <c r="K5" s="54">
        <f>+J5/J5</f>
        <v>1</v>
      </c>
      <c r="L5" s="85">
        <f>+J5/L4</f>
        <v>105.51900000000001</v>
      </c>
      <c r="M5" s="9">
        <v>1039.575</v>
      </c>
      <c r="N5" s="54">
        <f>+M5/M5</f>
        <v>1</v>
      </c>
      <c r="O5" s="85">
        <f>+M5/O4</f>
        <v>103.95750000000001</v>
      </c>
      <c r="P5" s="9">
        <f>1083.255</f>
        <v>1083.2550000000001</v>
      </c>
      <c r="Q5" s="54">
        <f>+P5/P5</f>
        <v>1</v>
      </c>
      <c r="R5" s="85">
        <f>+P5/R4</f>
        <v>108.32550000000001</v>
      </c>
      <c r="S5" s="9">
        <f>760.694+1345.21-760.694</f>
        <v>1345.21</v>
      </c>
      <c r="T5" s="54">
        <f>+S5/S5</f>
        <v>1</v>
      </c>
      <c r="U5" s="85">
        <f>+S5/U4</f>
        <v>134.52100000000002</v>
      </c>
      <c r="V5" s="9">
        <v>1266.742</v>
      </c>
      <c r="W5" s="54">
        <f>+V5/V5</f>
        <v>1</v>
      </c>
      <c r="X5" s="85">
        <f>+V5/X4</f>
        <v>126.6742</v>
      </c>
      <c r="Y5" s="9">
        <v>1142.8320000000001</v>
      </c>
      <c r="Z5" s="54">
        <f>+Y5/Y5</f>
        <v>1</v>
      </c>
      <c r="AA5" s="85">
        <f>+Y5/AA4</f>
        <v>114.28320000000001</v>
      </c>
      <c r="AB5" s="9">
        <v>0</v>
      </c>
      <c r="AC5" s="54" t="e">
        <f>+AB5/AB5</f>
        <v>#DIV/0!</v>
      </c>
      <c r="AD5" s="85" t="e">
        <f>+AB5/AD4</f>
        <v>#DIV/0!</v>
      </c>
      <c r="AE5" s="9">
        <v>0</v>
      </c>
      <c r="AF5" s="54" t="e">
        <f>+AE5/$AE$5</f>
        <v>#DIV/0!</v>
      </c>
      <c r="AG5" s="85" t="e">
        <f>+AE5/AG4</f>
        <v>#DIV/0!</v>
      </c>
      <c r="AH5" s="9">
        <v>0</v>
      </c>
      <c r="AI5" s="54" t="e">
        <f>+AH5/$AH$5</f>
        <v>#DIV/0!</v>
      </c>
      <c r="AJ5" s="85" t="e">
        <f>+AH5/AJ4</f>
        <v>#DIV/0!</v>
      </c>
      <c r="AK5" s="9">
        <v>0</v>
      </c>
      <c r="AL5" s="54" t="e">
        <f>+AK5/$AK$5</f>
        <v>#DIV/0!</v>
      </c>
      <c r="AM5" s="85" t="e">
        <f>+AK5/AM4</f>
        <v>#DIV/0!</v>
      </c>
      <c r="AN5" s="16"/>
      <c r="AO5" s="16"/>
      <c r="AP5" s="30">
        <f>+S5+AB5+AE5+AH5+AK5+Y5+P5+M5+J5+G5+D5+V5</f>
        <v>8941.2439999999988</v>
      </c>
      <c r="AQ5" s="64">
        <f>+AP5/$AP$5</f>
        <v>1</v>
      </c>
      <c r="AR5" s="85">
        <f>+AP5/AR4</f>
        <v>894.12439999999992</v>
      </c>
      <c r="AS5" s="30">
        <f>+AP5/$AS$4</f>
        <v>1117.6554999999998</v>
      </c>
      <c r="AT5" s="57"/>
      <c r="AU5" s="85">
        <f>+AS5/AU4</f>
        <v>111.76554999999999</v>
      </c>
    </row>
    <row r="6" spans="2:47">
      <c r="B6" s="7" t="s">
        <v>4</v>
      </c>
      <c r="C6" s="16"/>
      <c r="D6" s="11">
        <v>95.856660000000005</v>
      </c>
      <c r="E6" s="55">
        <f>+D6/D5</f>
        <v>9.3235348185757433E-2</v>
      </c>
      <c r="F6" s="86">
        <f>+D6/F4</f>
        <v>9.5856659999999998</v>
      </c>
      <c r="G6" s="11">
        <f>(6.2126+157.969+13.406+183.831)*0.252836</f>
        <v>91.379633149599997</v>
      </c>
      <c r="H6" s="55">
        <f>+G6/G5</f>
        <v>9.3213610944941724E-2</v>
      </c>
      <c r="I6" s="86">
        <f>+G6/I4</f>
        <v>9.1379633149600004</v>
      </c>
      <c r="J6" s="11">
        <f>6.6067+172.17659+20.30943+74.067-204.095109</f>
        <v>69.064610999999985</v>
      </c>
      <c r="K6" s="55">
        <f>+J6/J5</f>
        <v>6.5452298638159934E-2</v>
      </c>
      <c r="L6" s="86">
        <f>+J6/L4</f>
        <v>6.9064610999999987</v>
      </c>
      <c r="M6" s="11">
        <f>5.86766+151.09302-126.7669388+34.037+134.087-125.6167308</f>
        <v>72.701010399999973</v>
      </c>
      <c r="N6" s="55">
        <f>+M6/M5</f>
        <v>6.9933396243657228E-2</v>
      </c>
      <c r="O6" s="86">
        <f>+M6/O4</f>
        <v>7.2701010399999975</v>
      </c>
      <c r="P6" s="11">
        <f>5.9747+167.02972+17.30527+270.4274-139.72442-214.985219</f>
        <v>106.02745099999996</v>
      </c>
      <c r="Q6" s="55">
        <f>+P6/P5</f>
        <v>9.7878570604335954E-2</v>
      </c>
      <c r="R6" s="86">
        <f>+P6/R4</f>
        <v>10.602745099999996</v>
      </c>
      <c r="S6" s="11">
        <v>72.971140000000005</v>
      </c>
      <c r="T6" s="55">
        <f>+S6/S5</f>
        <v>5.4245166182231776E-2</v>
      </c>
      <c r="U6" s="86">
        <f>+S6/U4</f>
        <v>7.2971140000000005</v>
      </c>
      <c r="V6" s="11">
        <f>7.73272+157.95934+2.71197+103.126-133.8187069-79.078</f>
        <v>58.633323100000013</v>
      </c>
      <c r="W6" s="55">
        <f>+V6/V5</f>
        <v>4.6286712763925104E-2</v>
      </c>
      <c r="X6" s="86">
        <f>+V6/X4</f>
        <v>5.8633323100000014</v>
      </c>
      <c r="Y6" s="11">
        <f>31.69263+55.88091768</f>
        <v>87.573547680000004</v>
      </c>
      <c r="Z6" s="55">
        <f>+Y6/Y5</f>
        <v>7.6628540047881055E-2</v>
      </c>
      <c r="AA6" s="86">
        <f>+Y6/AA4</f>
        <v>8.7573547680000008</v>
      </c>
      <c r="AB6" s="11">
        <v>0</v>
      </c>
      <c r="AC6" s="55" t="e">
        <f>+AB6/AB5</f>
        <v>#DIV/0!</v>
      </c>
      <c r="AD6" s="86" t="e">
        <f>+AB6/AD4</f>
        <v>#DIV/0!</v>
      </c>
      <c r="AE6" s="11">
        <v>0</v>
      </c>
      <c r="AF6" s="55" t="e">
        <f>+AE6/$AE$5</f>
        <v>#DIV/0!</v>
      </c>
      <c r="AG6" s="86" t="e">
        <f>+AE6/AG4</f>
        <v>#DIV/0!</v>
      </c>
      <c r="AH6" s="11">
        <v>0</v>
      </c>
      <c r="AI6" s="55" t="e">
        <f>+AH6/$AH$5</f>
        <v>#DIV/0!</v>
      </c>
      <c r="AJ6" s="86" t="e">
        <f>+AH6/AJ4</f>
        <v>#DIV/0!</v>
      </c>
      <c r="AK6" s="11">
        <v>0</v>
      </c>
      <c r="AL6" s="55" t="e">
        <f>+AK6/$AK$5</f>
        <v>#DIV/0!</v>
      </c>
      <c r="AM6" s="86" t="e">
        <f>+AK6/AM4</f>
        <v>#DIV/0!</v>
      </c>
      <c r="AN6" s="16"/>
      <c r="AO6" s="16"/>
      <c r="AP6" s="92">
        <f>+S6+AB6+AE6+AH6+AK6+Y6+P6+M6+J6+G6+D6+V6</f>
        <v>654.20737632959992</v>
      </c>
      <c r="AQ6" s="65">
        <f>+AP6/$AP$5</f>
        <v>7.3167377641142547E-2</v>
      </c>
      <c r="AR6" s="86">
        <f>+AP6/AR4</f>
        <v>65.420737632959998</v>
      </c>
      <c r="AS6" s="14">
        <f t="shared" ref="AS6:AS9" si="0">+AP6/$AS$4</f>
        <v>81.775922041199991</v>
      </c>
      <c r="AT6" s="57"/>
      <c r="AU6" s="86">
        <f>+AS6/AU4</f>
        <v>8.1775922041199998</v>
      </c>
    </row>
    <row r="7" spans="2:47">
      <c r="B7" s="10" t="s">
        <v>7</v>
      </c>
      <c r="C7" s="16"/>
      <c r="D7" s="8">
        <f>+D5-D6</f>
        <v>932.25833999999998</v>
      </c>
      <c r="E7" s="56">
        <f>+D7/D5</f>
        <v>0.90676465181424248</v>
      </c>
      <c r="F7" s="87">
        <f>+F5-F6</f>
        <v>93.225833999999992</v>
      </c>
      <c r="G7" s="8">
        <f>+G5-G6</f>
        <v>888.94536685040009</v>
      </c>
      <c r="H7" s="56">
        <f>+G7/G5</f>
        <v>0.90678638905505837</v>
      </c>
      <c r="I7" s="87">
        <f>+I5-I6</f>
        <v>88.894536685039995</v>
      </c>
      <c r="J7" s="8">
        <f>+J5-J6</f>
        <v>986.12538900000004</v>
      </c>
      <c r="K7" s="56">
        <f>+J7/J5</f>
        <v>0.93454770136184007</v>
      </c>
      <c r="L7" s="87">
        <f>+L5-L6</f>
        <v>98.612538900000004</v>
      </c>
      <c r="M7" s="8">
        <f>+M5-M6</f>
        <v>966.87398960000007</v>
      </c>
      <c r="N7" s="56">
        <f>+M7/M5</f>
        <v>0.93006660375634276</v>
      </c>
      <c r="O7" s="87">
        <f>+O5-O6</f>
        <v>96.68739896000001</v>
      </c>
      <c r="P7" s="8">
        <f>+P5-P6</f>
        <v>977.22754900000018</v>
      </c>
      <c r="Q7" s="56">
        <f>+P7/P5</f>
        <v>0.90212142939566409</v>
      </c>
      <c r="R7" s="87">
        <f>+R5-R6</f>
        <v>97.722754900000012</v>
      </c>
      <c r="S7" s="8">
        <f>+S5-S6</f>
        <v>1272.2388599999999</v>
      </c>
      <c r="T7" s="56">
        <f>+S7/S5</f>
        <v>0.94575483381776815</v>
      </c>
      <c r="U7" s="87">
        <f>+U5-U6</f>
        <v>127.22388600000002</v>
      </c>
      <c r="V7" s="8">
        <f>+V5-V6</f>
        <v>1208.1086768999999</v>
      </c>
      <c r="W7" s="56">
        <f>+V7/V5</f>
        <v>0.95371328723607485</v>
      </c>
      <c r="X7" s="87">
        <f>+X5-X6</f>
        <v>120.81086768999999</v>
      </c>
      <c r="Y7" s="8">
        <f>+Y5-Y6</f>
        <v>1055.2584523200001</v>
      </c>
      <c r="Z7" s="56">
        <f>+Y7/Y5</f>
        <v>0.92337145995211889</v>
      </c>
      <c r="AA7" s="87">
        <f>+AA5-AA6</f>
        <v>105.52584523200001</v>
      </c>
      <c r="AB7" s="8">
        <f>+AB5-AB6</f>
        <v>0</v>
      </c>
      <c r="AC7" s="56" t="e">
        <f>+AB7/AB5</f>
        <v>#DIV/0!</v>
      </c>
      <c r="AD7" s="87" t="e">
        <f>+AD5-AD6</f>
        <v>#DIV/0!</v>
      </c>
      <c r="AE7" s="8">
        <f>+AE5-AE6</f>
        <v>0</v>
      </c>
      <c r="AF7" s="56" t="e">
        <f>+AE7/$AE$5</f>
        <v>#DIV/0!</v>
      </c>
      <c r="AG7" s="87" t="e">
        <f>+AG5-AG6</f>
        <v>#DIV/0!</v>
      </c>
      <c r="AH7" s="8">
        <f>+AH5-AH6</f>
        <v>0</v>
      </c>
      <c r="AI7" s="56" t="e">
        <f>+AH7/$AH$5</f>
        <v>#DIV/0!</v>
      </c>
      <c r="AJ7" s="87" t="e">
        <f>+AJ5-AJ6</f>
        <v>#DIV/0!</v>
      </c>
      <c r="AK7" s="8">
        <f>+AK5-AK6</f>
        <v>0</v>
      </c>
      <c r="AL7" s="56" t="e">
        <f>+AK7/$AK$5</f>
        <v>#DIV/0!</v>
      </c>
      <c r="AM7" s="87" t="e">
        <f>+AM5-AM6</f>
        <v>#DIV/0!</v>
      </c>
      <c r="AN7" s="16"/>
      <c r="AO7" s="16"/>
      <c r="AP7" s="30">
        <f>+S7+AB7+AE7+AH7+AK7+Y7+P7+M7+J7+G7+D7+V7</f>
        <v>8287.0366236703994</v>
      </c>
      <c r="AQ7" s="65">
        <f>+AP7/$AP$5</f>
        <v>0.92683262235885755</v>
      </c>
      <c r="AR7" s="87">
        <f>+AR5-AR6</f>
        <v>828.7036623670399</v>
      </c>
      <c r="AS7" s="13">
        <f t="shared" si="0"/>
        <v>1035.8795779587999</v>
      </c>
      <c r="AT7" s="57"/>
      <c r="AU7" s="87">
        <f>+AU5-AU6</f>
        <v>103.58795779587999</v>
      </c>
    </row>
    <row r="8" spans="2:47">
      <c r="B8" s="7" t="s">
        <v>5</v>
      </c>
      <c r="C8" s="16"/>
      <c r="D8" s="11">
        <v>920.12062809999998</v>
      </c>
      <c r="E8" s="55">
        <f>+D8/D5</f>
        <v>0.89495885975790646</v>
      </c>
      <c r="F8" s="86">
        <f>+D8/F4</f>
        <v>92.012062810000003</v>
      </c>
      <c r="G8" s="11">
        <f>1350.052*0.675287</f>
        <v>911.67256492399986</v>
      </c>
      <c r="H8" s="55">
        <f>+G8/G5</f>
        <v>0.92996971914824145</v>
      </c>
      <c r="I8" s="86">
        <f>+G8/I4</f>
        <v>91.167256492399986</v>
      </c>
      <c r="J8" s="11">
        <f>1409.854-457.7981362</f>
        <v>952.0558638</v>
      </c>
      <c r="K8" s="55">
        <f>+J8/J5</f>
        <v>0.90226012737042616</v>
      </c>
      <c r="L8" s="86">
        <f>+J8/L4</f>
        <v>95.20558638</v>
      </c>
      <c r="M8" s="11">
        <f>302.68156-98.28463739+1108.29-260.0670742</f>
        <v>1052.61984841</v>
      </c>
      <c r="N8" s="55">
        <f>+M8/M5</f>
        <v>1.0125482513623356</v>
      </c>
      <c r="O8" s="86">
        <f>+M8/O4</f>
        <v>105.261984841</v>
      </c>
      <c r="P8" s="11">
        <f>1425.631-286.7699599</f>
        <v>1138.8610401000001</v>
      </c>
      <c r="Q8" s="55">
        <f>+P8/P5</f>
        <v>1.0513323641247905</v>
      </c>
      <c r="R8" s="86">
        <f>+P8/R4</f>
        <v>113.88610401000001</v>
      </c>
      <c r="S8" s="11">
        <f>180.56475+911.15987</f>
        <v>1091.72462</v>
      </c>
      <c r="T8" s="55">
        <f>+S8/S5</f>
        <v>0.81156445462046811</v>
      </c>
      <c r="U8" s="86">
        <f>+S8/U4</f>
        <v>109.172462</v>
      </c>
      <c r="V8" s="11">
        <f>2094.18252-7.73272-157.95934-2.71197-103.126-104.7584502-351.9918399</f>
        <v>1365.9021998999999</v>
      </c>
      <c r="W8" s="55">
        <f>+V8/V5</f>
        <v>1.0782797127591885</v>
      </c>
      <c r="X8" s="86">
        <f>+V8/X4</f>
        <v>136.59021998999998</v>
      </c>
      <c r="Y8" s="11">
        <f>790.214014+301.292</f>
        <v>1091.5060140000001</v>
      </c>
      <c r="Z8" s="55">
        <f>+Y8/Y5</f>
        <v>0.9550887742030324</v>
      </c>
      <c r="AA8" s="86">
        <f>+Y8/AA4</f>
        <v>109.1506014</v>
      </c>
      <c r="AB8" s="11">
        <v>0</v>
      </c>
      <c r="AC8" s="55" t="e">
        <f>+AB8/AB5</f>
        <v>#DIV/0!</v>
      </c>
      <c r="AD8" s="86" t="e">
        <f>+AB8/AD4</f>
        <v>#DIV/0!</v>
      </c>
      <c r="AE8" s="11">
        <v>0</v>
      </c>
      <c r="AF8" s="55" t="e">
        <f>+AE8/$AE$5</f>
        <v>#DIV/0!</v>
      </c>
      <c r="AG8" s="86" t="e">
        <f>+AE8/AG4</f>
        <v>#DIV/0!</v>
      </c>
      <c r="AH8" s="11">
        <v>0</v>
      </c>
      <c r="AI8" s="55" t="e">
        <f>+AH8/$AH$5</f>
        <v>#DIV/0!</v>
      </c>
      <c r="AJ8" s="86" t="e">
        <f>+AH8/AJ4</f>
        <v>#DIV/0!</v>
      </c>
      <c r="AK8" s="11">
        <v>0</v>
      </c>
      <c r="AL8" s="55" t="e">
        <f>+AK8/$AK$5</f>
        <v>#DIV/0!</v>
      </c>
      <c r="AM8" s="86" t="e">
        <f>+AK8/AM4</f>
        <v>#DIV/0!</v>
      </c>
      <c r="AN8" s="16"/>
      <c r="AO8" s="16"/>
      <c r="AP8" s="92">
        <f>+S8+AB8+AE8+AH8+AK8+Y8+P8+M8+J8+G8+D8+V8</f>
        <v>8524.4627792339998</v>
      </c>
      <c r="AQ8" s="65">
        <f>+AP8/$AP$5</f>
        <v>0.95338666288874352</v>
      </c>
      <c r="AR8" s="86">
        <f>+AP8/AR4</f>
        <v>852.44627792339998</v>
      </c>
      <c r="AS8" s="14">
        <f t="shared" si="0"/>
        <v>1065.55784740425</v>
      </c>
      <c r="AT8" s="57"/>
      <c r="AU8" s="86">
        <f>+AS8/AU4</f>
        <v>106.555784740425</v>
      </c>
    </row>
    <row r="9" spans="2:47">
      <c r="B9" s="18" t="s">
        <v>13</v>
      </c>
      <c r="C9" s="16"/>
      <c r="D9" s="15">
        <f>+D5-D6-D8</f>
        <v>12.137711899999999</v>
      </c>
      <c r="E9" s="54">
        <f>+D9/D5</f>
        <v>1.180579205633611E-2</v>
      </c>
      <c r="F9" s="15">
        <f>+F5-F6-F8</f>
        <v>1.2137711899999886</v>
      </c>
      <c r="G9" s="15">
        <f>+G5-G6-G8</f>
        <v>-22.727198073599766</v>
      </c>
      <c r="H9" s="54">
        <f>+G9/G5</f>
        <v>-2.3183330093183144E-2</v>
      </c>
      <c r="I9" s="15">
        <f>+I5-I6-I8</f>
        <v>-2.2727198073599908</v>
      </c>
      <c r="J9" s="15">
        <f>+J5-J6-J8</f>
        <v>34.069525200000044</v>
      </c>
      <c r="K9" s="54">
        <f>+J9/J5</f>
        <v>3.2287573991413909E-2</v>
      </c>
      <c r="L9" s="15">
        <f>+L5-L6-L8</f>
        <v>3.4069525200000044</v>
      </c>
      <c r="M9" s="15">
        <f>+M5-M6-M8</f>
        <v>-85.745858809999959</v>
      </c>
      <c r="N9" s="54">
        <f>+M9/M5</f>
        <v>-8.2481647605992789E-2</v>
      </c>
      <c r="O9" s="15">
        <f>+O5-O6-O8</f>
        <v>-8.5745858809999902</v>
      </c>
      <c r="P9" s="15">
        <f>+P5-P6-P8</f>
        <v>-161.6334910999999</v>
      </c>
      <c r="Q9" s="54">
        <f>+P9/P5</f>
        <v>-0.14921093472912647</v>
      </c>
      <c r="R9" s="15">
        <f>+R5-R6-R8</f>
        <v>-16.163349109999999</v>
      </c>
      <c r="S9" s="15">
        <f>+S5-S6-S8</f>
        <v>180.51423999999997</v>
      </c>
      <c r="T9" s="54">
        <f>+S9/S5</f>
        <v>0.13419037919730004</v>
      </c>
      <c r="U9" s="15">
        <f>+U5-U6-U8</f>
        <v>18.051424000000026</v>
      </c>
      <c r="V9" s="15">
        <f>+V5-V6-V8</f>
        <v>-157.79352300000005</v>
      </c>
      <c r="W9" s="54">
        <f>+V9/V5</f>
        <v>-0.12456642552311367</v>
      </c>
      <c r="X9" s="15">
        <f>+X5-X6-X8</f>
        <v>-15.779352299999985</v>
      </c>
      <c r="Y9" s="15">
        <f>+Y5-Y6-Y8</f>
        <v>-36.24756167999999</v>
      </c>
      <c r="Z9" s="54">
        <f>+Y9/Y5</f>
        <v>-3.1717314250913509E-2</v>
      </c>
      <c r="AA9" s="15">
        <f>+AA5-AA6-AA8</f>
        <v>-3.6247561679999905</v>
      </c>
      <c r="AB9" s="15">
        <f>+AB5-AB6-AB8</f>
        <v>0</v>
      </c>
      <c r="AC9" s="54" t="e">
        <f>+AB9/AB5</f>
        <v>#DIV/0!</v>
      </c>
      <c r="AD9" s="15" t="e">
        <f>+AD5-AD6-AD8</f>
        <v>#DIV/0!</v>
      </c>
      <c r="AE9" s="15">
        <f>+AE5-AE6-AE8</f>
        <v>0</v>
      </c>
      <c r="AF9" s="54" t="e">
        <f>+AE9/$AE$5</f>
        <v>#DIV/0!</v>
      </c>
      <c r="AG9" s="15" t="e">
        <f>+AG5-AG6-AG8</f>
        <v>#DIV/0!</v>
      </c>
      <c r="AH9" s="15">
        <f>+AH5-AH6-AH8</f>
        <v>0</v>
      </c>
      <c r="AI9" s="54" t="e">
        <f>+AH9/$AH$5</f>
        <v>#DIV/0!</v>
      </c>
      <c r="AJ9" s="15" t="e">
        <f>+AJ5-AJ6-AJ8</f>
        <v>#DIV/0!</v>
      </c>
      <c r="AK9" s="15">
        <f>+AK5-AK6-AK8</f>
        <v>0</v>
      </c>
      <c r="AL9" s="54" t="e">
        <f>+AK9/$AK$5</f>
        <v>#DIV/0!</v>
      </c>
      <c r="AM9" s="15" t="e">
        <f>+AM5-AM6-AM8</f>
        <v>#DIV/0!</v>
      </c>
      <c r="AN9" s="16"/>
      <c r="AO9" s="16"/>
      <c r="AP9" s="93">
        <f>+S9+AB9+AE9+AH9+AK9+Y9+P9+M9+J9+G9+D9+V9</f>
        <v>-237.42615556359965</v>
      </c>
      <c r="AQ9" s="64">
        <f>+AP9/$AP$5</f>
        <v>-2.6554040529885962E-2</v>
      </c>
      <c r="AR9" s="15">
        <f>+AR5-AR6-AR8</f>
        <v>-23.742615556360079</v>
      </c>
      <c r="AS9" s="29">
        <f t="shared" si="0"/>
        <v>-29.678269445449956</v>
      </c>
      <c r="AT9" s="57"/>
      <c r="AU9" s="15">
        <f>+AU5-AU6-AU8</f>
        <v>-2.9678269445450098</v>
      </c>
    </row>
    <row r="10" spans="2:47" ht="7.5" customHeight="1">
      <c r="B10" s="16"/>
      <c r="C10" s="16"/>
      <c r="D10" s="32"/>
      <c r="E10" s="57"/>
      <c r="F10" s="57"/>
      <c r="G10" s="32"/>
      <c r="H10" s="57"/>
      <c r="I10" s="57"/>
      <c r="J10" s="32"/>
      <c r="K10" s="57"/>
      <c r="L10" s="57"/>
      <c r="M10" s="32"/>
      <c r="N10" s="57"/>
      <c r="O10" s="57"/>
      <c r="P10" s="32"/>
      <c r="Q10" s="57"/>
      <c r="R10" s="57"/>
      <c r="S10" s="32"/>
      <c r="T10" s="57"/>
      <c r="U10" s="57"/>
      <c r="V10" s="32"/>
      <c r="W10" s="57"/>
      <c r="X10" s="57"/>
      <c r="Y10" s="32"/>
      <c r="Z10" s="57"/>
      <c r="AA10" s="57"/>
      <c r="AB10" s="32"/>
      <c r="AC10" s="57"/>
      <c r="AD10" s="57"/>
      <c r="AE10" s="32"/>
      <c r="AF10" s="57"/>
      <c r="AG10" s="57"/>
      <c r="AH10" s="32"/>
      <c r="AI10" s="57"/>
      <c r="AJ10" s="57"/>
      <c r="AK10" s="32"/>
      <c r="AL10" s="16"/>
      <c r="AM10" s="16"/>
      <c r="AN10" s="16"/>
      <c r="AO10" s="16"/>
      <c r="AP10" s="16"/>
      <c r="AQ10" s="66"/>
      <c r="AR10" s="57"/>
      <c r="AS10" s="16"/>
      <c r="AT10" s="57"/>
      <c r="AU10" s="57"/>
    </row>
    <row r="11" spans="2:47">
      <c r="B11" s="17" t="s">
        <v>17</v>
      </c>
      <c r="C11" s="16"/>
      <c r="D11" s="32">
        <v>28</v>
      </c>
      <c r="E11" s="57"/>
      <c r="F11" s="86">
        <f>+D11/F4</f>
        <v>2.8</v>
      </c>
      <c r="G11" s="32">
        <v>28</v>
      </c>
      <c r="H11" s="57"/>
      <c r="I11" s="86">
        <f>+G11/I4</f>
        <v>2.8</v>
      </c>
      <c r="J11" s="32">
        <v>28</v>
      </c>
      <c r="K11" s="57"/>
      <c r="L11" s="86">
        <f>+J11/L4</f>
        <v>2.8</v>
      </c>
      <c r="M11" s="32">
        <v>28</v>
      </c>
      <c r="N11" s="57"/>
      <c r="O11" s="86">
        <f>+M11/O4</f>
        <v>2.8</v>
      </c>
      <c r="P11" s="32">
        <v>28</v>
      </c>
      <c r="Q11" s="57"/>
      <c r="R11" s="86">
        <f>+P11/R4</f>
        <v>2.8</v>
      </c>
      <c r="S11" s="32">
        <v>28</v>
      </c>
      <c r="T11" s="57"/>
      <c r="U11" s="86">
        <f>+S11/U4</f>
        <v>2.8</v>
      </c>
      <c r="V11" s="32">
        <v>28</v>
      </c>
      <c r="W11" s="57"/>
      <c r="X11" s="86">
        <f>+V11/X4</f>
        <v>2.8</v>
      </c>
      <c r="Y11" s="32">
        <v>28</v>
      </c>
      <c r="Z11" s="57"/>
      <c r="AA11" s="86">
        <f>+Y11/AA4</f>
        <v>2.8</v>
      </c>
      <c r="AB11" s="32">
        <v>0</v>
      </c>
      <c r="AC11" s="57"/>
      <c r="AD11" s="86" t="e">
        <f>+AB11/AD4</f>
        <v>#DIV/0!</v>
      </c>
      <c r="AE11" s="32">
        <v>0</v>
      </c>
      <c r="AF11" s="57"/>
      <c r="AG11" s="86" t="e">
        <f>+AE11/AG4</f>
        <v>#DIV/0!</v>
      </c>
      <c r="AH11" s="32">
        <v>0</v>
      </c>
      <c r="AI11" s="57"/>
      <c r="AJ11" s="86" t="e">
        <f>+AH11/AJ4</f>
        <v>#DIV/0!</v>
      </c>
      <c r="AK11" s="32">
        <v>0</v>
      </c>
      <c r="AL11" s="16"/>
      <c r="AM11" s="86" t="e">
        <f>+AK11/AM4</f>
        <v>#DIV/0!</v>
      </c>
      <c r="AN11" s="16"/>
      <c r="AO11" s="16"/>
      <c r="AP11" s="14">
        <f>(AB11+AE11+AH11+AK11+Y11+V11+S11+P11+M11+J11+G11+D11)</f>
        <v>224</v>
      </c>
      <c r="AQ11" s="57"/>
      <c r="AR11" s="86">
        <f>+AP11/AR4</f>
        <v>22.4</v>
      </c>
      <c r="AS11" s="28">
        <f>+AP11/AS4</f>
        <v>28</v>
      </c>
      <c r="AT11" s="57"/>
      <c r="AU11" s="86">
        <f>+AS11/AU4</f>
        <v>2.8</v>
      </c>
    </row>
    <row r="12" spans="2:47">
      <c r="B12" s="17" t="s">
        <v>14</v>
      </c>
      <c r="C12" s="16"/>
      <c r="D12" s="32">
        <v>790.21401400000002</v>
      </c>
      <c r="E12" s="57"/>
      <c r="F12" s="86">
        <f>+D12/F4</f>
        <v>79.021401400000002</v>
      </c>
      <c r="G12" s="32">
        <f>1071.889*0.675287</f>
        <v>723.83270714299988</v>
      </c>
      <c r="H12" s="57"/>
      <c r="I12" s="86">
        <f>+G12/I4</f>
        <v>72.383270714299982</v>
      </c>
      <c r="J12" s="32">
        <v>865.1</v>
      </c>
      <c r="K12" s="57"/>
      <c r="L12" s="86">
        <f>+J12/L4</f>
        <v>86.51</v>
      </c>
      <c r="M12" s="32">
        <f>1108.29-260.067</f>
        <v>848.22299999999996</v>
      </c>
      <c r="N12" s="57"/>
      <c r="O12" s="86">
        <f>+M12/O4</f>
        <v>84.822299999999998</v>
      </c>
      <c r="P12" s="32">
        <f>1124.466-263.8628697</f>
        <v>860.60313029999998</v>
      </c>
      <c r="Q12" s="57"/>
      <c r="R12" s="86">
        <f>+P12/R4</f>
        <v>86.060313030000003</v>
      </c>
      <c r="S12" s="32">
        <v>911.15899999999999</v>
      </c>
      <c r="T12" s="57"/>
      <c r="U12" s="86">
        <f>+S12/U4</f>
        <v>91.115899999999996</v>
      </c>
      <c r="V12" s="32">
        <f>1500.03341-351.9918399</f>
        <v>1148.0415700999999</v>
      </c>
      <c r="W12" s="57"/>
      <c r="X12" s="86">
        <f>+V12/X4</f>
        <v>114.80415701</v>
      </c>
      <c r="Y12" s="32">
        <v>790.21401400000002</v>
      </c>
      <c r="Z12" s="57"/>
      <c r="AA12" s="86">
        <f>+Y12/AA4</f>
        <v>79.021401400000002</v>
      </c>
      <c r="AB12" s="32">
        <v>0</v>
      </c>
      <c r="AC12" s="57"/>
      <c r="AD12" s="86" t="e">
        <f>+AB12/AD4</f>
        <v>#DIV/0!</v>
      </c>
      <c r="AE12" s="32">
        <v>0</v>
      </c>
      <c r="AF12" s="57"/>
      <c r="AG12" s="86" t="e">
        <f>+AE12/AG4</f>
        <v>#DIV/0!</v>
      </c>
      <c r="AH12" s="32">
        <v>0</v>
      </c>
      <c r="AI12" s="57"/>
      <c r="AJ12" s="86" t="e">
        <f>+AH12/AJ4</f>
        <v>#DIV/0!</v>
      </c>
      <c r="AK12" s="32">
        <v>0</v>
      </c>
      <c r="AL12" s="16"/>
      <c r="AM12" s="86" t="e">
        <f>+AK12/AM4</f>
        <v>#DIV/0!</v>
      </c>
      <c r="AN12" s="16"/>
      <c r="AO12" s="16"/>
      <c r="AP12" s="92">
        <f>+S12+AB12+AE12+AH12+AK12+Y12+P12+M12+J12+G12+D12+V12</f>
        <v>6937.3874355430007</v>
      </c>
      <c r="AQ12" s="57"/>
      <c r="AR12" s="86">
        <f>+AP12/AR4</f>
        <v>693.73874355430007</v>
      </c>
      <c r="AS12" s="14">
        <f t="shared" ref="AS12" si="1">+AP12/$AS$4</f>
        <v>867.17342944287509</v>
      </c>
      <c r="AT12" s="57"/>
      <c r="AU12" s="86">
        <f>+AS12/AU4</f>
        <v>86.717342944287509</v>
      </c>
    </row>
    <row r="13" spans="2:47">
      <c r="B13" s="18" t="s">
        <v>19</v>
      </c>
      <c r="C13" s="16"/>
      <c r="D13" s="33">
        <f>+D12/D5</f>
        <v>0.76860469305476531</v>
      </c>
      <c r="E13" s="57"/>
      <c r="F13" s="33"/>
      <c r="G13" s="33">
        <f>+G12/G5</f>
        <v>0.7383599389416774</v>
      </c>
      <c r="H13" s="57"/>
      <c r="I13" s="33"/>
      <c r="J13" s="33">
        <f>+J12/J5</f>
        <v>0.81985234886608094</v>
      </c>
      <c r="K13" s="57"/>
      <c r="L13" s="33"/>
      <c r="M13" s="33">
        <f>+M12/M5</f>
        <v>0.81593247240458833</v>
      </c>
      <c r="N13" s="57"/>
      <c r="O13" s="33"/>
      <c r="P13" s="33">
        <f>+P12/P5</f>
        <v>0.79446033510115333</v>
      </c>
      <c r="Q13" s="57"/>
      <c r="R13" s="33"/>
      <c r="S13" s="33">
        <f>+S12/S5</f>
        <v>0.67733588064317096</v>
      </c>
      <c r="T13" s="57"/>
      <c r="U13" s="33"/>
      <c r="V13" s="33">
        <f>+V12/V5</f>
        <v>0.90629470728846129</v>
      </c>
      <c r="W13" s="57"/>
      <c r="X13" s="33"/>
      <c r="Y13" s="33">
        <f>+Y12/Y5</f>
        <v>0.69145247420443245</v>
      </c>
      <c r="Z13" s="57"/>
      <c r="AA13" s="33"/>
      <c r="AB13" s="33" t="e">
        <f>+AB12/AB5</f>
        <v>#DIV/0!</v>
      </c>
      <c r="AC13" s="57"/>
      <c r="AD13" s="33"/>
      <c r="AE13" s="33" t="e">
        <f>+AE12/AE5</f>
        <v>#DIV/0!</v>
      </c>
      <c r="AF13" s="57"/>
      <c r="AG13" s="33"/>
      <c r="AH13" s="33" t="e">
        <f>+AH12/AH5</f>
        <v>#DIV/0!</v>
      </c>
      <c r="AI13" s="57"/>
      <c r="AJ13" s="33"/>
      <c r="AK13" s="33" t="e">
        <f>+AK12/AK5</f>
        <v>#DIV/0!</v>
      </c>
      <c r="AL13" s="16"/>
      <c r="AM13" s="16"/>
      <c r="AN13" s="16"/>
      <c r="AO13" s="16"/>
      <c r="AP13" s="35">
        <f>+AP12/AP5</f>
        <v>0.77588615583502718</v>
      </c>
      <c r="AQ13" s="57"/>
      <c r="AR13" s="33"/>
      <c r="AS13" s="35">
        <f>+AS12/AS5</f>
        <v>0.77588615583502718</v>
      </c>
      <c r="AT13" s="57"/>
      <c r="AU13" s="33"/>
    </row>
    <row r="14" spans="2:47">
      <c r="B14" s="18" t="s">
        <v>15</v>
      </c>
      <c r="C14" s="16"/>
      <c r="D14" s="8">
        <f>+D5/D11</f>
        <v>36.718392857142859</v>
      </c>
      <c r="E14" s="57"/>
      <c r="F14" s="8"/>
      <c r="G14" s="8">
        <f>+G5/G11</f>
        <v>35.011607142857144</v>
      </c>
      <c r="H14" s="57"/>
      <c r="I14" s="8"/>
      <c r="J14" s="8">
        <f>+J5/J11</f>
        <v>37.685357142857143</v>
      </c>
      <c r="K14" s="57"/>
      <c r="L14" s="8"/>
      <c r="M14" s="8">
        <f>+M5/M11</f>
        <v>37.127678571428575</v>
      </c>
      <c r="N14" s="57"/>
      <c r="O14" s="8"/>
      <c r="P14" s="8">
        <f>+P5/P11</f>
        <v>38.687678571428577</v>
      </c>
      <c r="Q14" s="57"/>
      <c r="R14" s="8"/>
      <c r="S14" s="8">
        <f>+S5/S11</f>
        <v>48.043214285714285</v>
      </c>
      <c r="T14" s="57"/>
      <c r="U14" s="8"/>
      <c r="V14" s="8">
        <f>+V5/V11</f>
        <v>45.240785714285714</v>
      </c>
      <c r="W14" s="57"/>
      <c r="X14" s="8"/>
      <c r="Y14" s="8">
        <f>+Y5/Y11</f>
        <v>40.815428571428576</v>
      </c>
      <c r="Z14" s="57"/>
      <c r="AA14" s="8"/>
      <c r="AB14" s="8" t="e">
        <f>+AB5/AB11</f>
        <v>#DIV/0!</v>
      </c>
      <c r="AC14" s="57"/>
      <c r="AD14" s="8"/>
      <c r="AE14" s="8" t="e">
        <f>+AE5/AE11</f>
        <v>#DIV/0!</v>
      </c>
      <c r="AF14" s="57"/>
      <c r="AG14" s="8"/>
      <c r="AH14" s="8" t="e">
        <f>+AH5/AH11</f>
        <v>#DIV/0!</v>
      </c>
      <c r="AI14" s="57"/>
      <c r="AJ14" s="8"/>
      <c r="AK14" s="8" t="e">
        <f>+AK5/AK11</f>
        <v>#DIV/0!</v>
      </c>
      <c r="AL14" s="16"/>
      <c r="AM14" s="16"/>
      <c r="AN14" s="16"/>
      <c r="AO14" s="16"/>
      <c r="AP14" s="36">
        <f>+AP5/AP11</f>
        <v>39.916267857142849</v>
      </c>
      <c r="AQ14" s="57"/>
      <c r="AR14" s="8"/>
      <c r="AS14" s="36">
        <f>+AS5/AS11</f>
        <v>39.916267857142849</v>
      </c>
      <c r="AT14" s="57"/>
      <c r="AU14" s="8"/>
    </row>
    <row r="15" spans="2:47">
      <c r="B15" s="10" t="s">
        <v>33</v>
      </c>
      <c r="C15" s="16"/>
      <c r="D15" s="8">
        <f>+D12/D11</f>
        <v>28.221929071428573</v>
      </c>
      <c r="E15" s="57"/>
      <c r="F15" s="8"/>
      <c r="G15" s="8">
        <f>+G12/G11</f>
        <v>25.851168112249997</v>
      </c>
      <c r="H15" s="57"/>
      <c r="I15" s="8"/>
      <c r="J15" s="8">
        <f>+J12/J11</f>
        <v>30.896428571428572</v>
      </c>
      <c r="K15" s="57"/>
      <c r="L15" s="8"/>
      <c r="M15" s="8">
        <f>+M12/M11</f>
        <v>30.293678571428568</v>
      </c>
      <c r="N15" s="57"/>
      <c r="O15" s="8"/>
      <c r="P15" s="8">
        <f>+P12/P11</f>
        <v>30.735826082142857</v>
      </c>
      <c r="Q15" s="57"/>
      <c r="R15" s="8"/>
      <c r="S15" s="8">
        <f>+S12/S11</f>
        <v>32.54139285714286</v>
      </c>
      <c r="T15" s="57"/>
      <c r="U15" s="8"/>
      <c r="V15" s="8">
        <f>+V12/V11</f>
        <v>41.001484646428572</v>
      </c>
      <c r="W15" s="57"/>
      <c r="X15" s="8"/>
      <c r="Y15" s="8">
        <f>+Y12/Y11</f>
        <v>28.221929071428573</v>
      </c>
      <c r="Z15" s="57"/>
      <c r="AA15" s="8"/>
      <c r="AB15" s="8" t="e">
        <f>+AB12/AB11</f>
        <v>#DIV/0!</v>
      </c>
      <c r="AC15" s="57"/>
      <c r="AD15" s="8"/>
      <c r="AE15" s="8" t="e">
        <f>+AE12/AE11</f>
        <v>#DIV/0!</v>
      </c>
      <c r="AF15" s="57"/>
      <c r="AG15" s="8"/>
      <c r="AH15" s="8" t="e">
        <f>+AH12/AH11</f>
        <v>#DIV/0!</v>
      </c>
      <c r="AI15" s="57"/>
      <c r="AJ15" s="8"/>
      <c r="AK15" s="8" t="e">
        <f>+AK12/AK11</f>
        <v>#DIV/0!</v>
      </c>
      <c r="AL15" s="16"/>
      <c r="AM15" s="16"/>
      <c r="AN15" s="16"/>
      <c r="AO15" s="16"/>
      <c r="AP15" s="36">
        <f>+AP12/AP11</f>
        <v>30.970479622959825</v>
      </c>
      <c r="AQ15" s="57"/>
      <c r="AR15" s="8"/>
      <c r="AS15" s="36">
        <f>+AS12/AS11</f>
        <v>30.970479622959825</v>
      </c>
      <c r="AT15" s="57"/>
      <c r="AU15" s="8"/>
    </row>
    <row r="16" spans="2:47">
      <c r="B16" s="18" t="s">
        <v>20</v>
      </c>
      <c r="C16" s="16"/>
      <c r="D16" s="33">
        <f>+D12/D7</f>
        <v>0.84763415900360839</v>
      </c>
      <c r="E16" s="57"/>
      <c r="F16" s="33"/>
      <c r="G16" s="33">
        <f>+G12/G7</f>
        <v>0.81426005931904821</v>
      </c>
      <c r="H16" s="57"/>
      <c r="I16" s="33"/>
      <c r="J16" s="33">
        <f>+J12/J7</f>
        <v>0.87727180503614433</v>
      </c>
      <c r="K16" s="57"/>
      <c r="L16" s="33"/>
      <c r="M16" s="33">
        <f>+M12/M7</f>
        <v>0.877283916129457</v>
      </c>
      <c r="N16" s="57"/>
      <c r="O16" s="33"/>
      <c r="P16" s="33">
        <f>+P12/P7</f>
        <v>0.88065786845720595</v>
      </c>
      <c r="Q16" s="57"/>
      <c r="R16" s="33"/>
      <c r="S16" s="33">
        <f>+S12/S7</f>
        <v>0.71618548108175228</v>
      </c>
      <c r="T16" s="57"/>
      <c r="U16" s="33"/>
      <c r="V16" s="33">
        <f>+V12/V7</f>
        <v>0.95028004686289336</v>
      </c>
      <c r="W16" s="57"/>
      <c r="X16" s="33"/>
      <c r="Y16" s="33">
        <f>+Y12/Y7</f>
        <v>0.74883457437626177</v>
      </c>
      <c r="Z16" s="57"/>
      <c r="AA16" s="33"/>
      <c r="AB16" s="33" t="e">
        <f>+AB12/AB7</f>
        <v>#DIV/0!</v>
      </c>
      <c r="AC16" s="57"/>
      <c r="AD16" s="33"/>
      <c r="AE16" s="33" t="e">
        <f>+AE12/AE7</f>
        <v>#DIV/0!</v>
      </c>
      <c r="AF16" s="57"/>
      <c r="AG16" s="33"/>
      <c r="AH16" s="33" t="e">
        <f>+AH12/AH7</f>
        <v>#DIV/0!</v>
      </c>
      <c r="AI16" s="57"/>
      <c r="AJ16" s="33"/>
      <c r="AK16" s="33" t="e">
        <f>+AK12/AK7</f>
        <v>#DIV/0!</v>
      </c>
      <c r="AL16" s="16"/>
      <c r="AM16" s="16"/>
      <c r="AN16" s="16"/>
      <c r="AO16" s="16"/>
      <c r="AP16" s="35">
        <f>+AP12/AP7</f>
        <v>0.83713729654912183</v>
      </c>
      <c r="AQ16" s="57"/>
      <c r="AR16" s="33"/>
      <c r="AS16" s="35">
        <f>+AS12/AS7</f>
        <v>0.83713729654912183</v>
      </c>
      <c r="AT16" s="57"/>
      <c r="AU16" s="33"/>
    </row>
    <row r="17" spans="2:47" ht="7.5" customHeight="1">
      <c r="B17" s="7"/>
      <c r="C17" s="16"/>
      <c r="D17" s="32"/>
      <c r="E17" s="57"/>
      <c r="F17" s="57"/>
      <c r="G17" s="32"/>
      <c r="H17" s="57"/>
      <c r="I17" s="57"/>
      <c r="J17" s="32"/>
      <c r="K17" s="57"/>
      <c r="L17" s="57"/>
      <c r="M17" s="32"/>
      <c r="N17" s="57"/>
      <c r="O17" s="57"/>
      <c r="P17" s="32"/>
      <c r="Q17" s="57"/>
      <c r="R17" s="57"/>
      <c r="S17" s="32"/>
      <c r="T17" s="57"/>
      <c r="U17" s="57"/>
      <c r="V17" s="32"/>
      <c r="W17" s="57"/>
      <c r="X17" s="57"/>
      <c r="Y17" s="32"/>
      <c r="Z17" s="57"/>
      <c r="AA17" s="57"/>
      <c r="AB17" s="32"/>
      <c r="AC17" s="57"/>
      <c r="AD17" s="57"/>
      <c r="AE17" s="32"/>
      <c r="AF17" s="57"/>
      <c r="AG17" s="57"/>
      <c r="AH17" s="32"/>
      <c r="AI17" s="57"/>
      <c r="AJ17" s="57"/>
      <c r="AK17" s="16"/>
      <c r="AL17" s="16"/>
      <c r="AM17" s="16"/>
      <c r="AN17" s="16"/>
      <c r="AO17" s="16"/>
      <c r="AP17" s="16"/>
      <c r="AQ17" s="57"/>
      <c r="AR17" s="57"/>
      <c r="AS17" s="16"/>
      <c r="AT17" s="57"/>
      <c r="AU17" s="57"/>
    </row>
    <row r="18" spans="2:47">
      <c r="B18" s="17" t="s">
        <v>22</v>
      </c>
      <c r="C18" s="16"/>
      <c r="D18" s="11">
        <v>9060</v>
      </c>
      <c r="E18" s="11">
        <v>9060</v>
      </c>
      <c r="F18" s="67">
        <f>+D18/F4</f>
        <v>906</v>
      </c>
      <c r="G18" s="11">
        <v>9102</v>
      </c>
      <c r="H18" s="11">
        <v>9102</v>
      </c>
      <c r="I18" s="67">
        <f>+G18/I4</f>
        <v>910.2</v>
      </c>
      <c r="J18" s="11">
        <v>11755</v>
      </c>
      <c r="K18" s="11">
        <v>11755</v>
      </c>
      <c r="L18" s="67">
        <f>+J18/L4</f>
        <v>1175.5</v>
      </c>
      <c r="M18" s="11">
        <f>48119-38862.58</f>
        <v>9256.4199999999983</v>
      </c>
      <c r="N18" s="11">
        <f>48119-38862.58</f>
        <v>9256.4199999999983</v>
      </c>
      <c r="O18" s="67">
        <f>+M18/O4</f>
        <v>925.64199999999983</v>
      </c>
      <c r="P18" s="11">
        <v>9518.6039999999994</v>
      </c>
      <c r="Q18" s="11">
        <v>9518.6039999999994</v>
      </c>
      <c r="R18" s="67">
        <f>+P18/R4</f>
        <v>951.86039999999991</v>
      </c>
      <c r="S18" s="11">
        <v>9157.7279999999992</v>
      </c>
      <c r="T18" s="11">
        <v>9157.7279999999992</v>
      </c>
      <c r="U18" s="67">
        <f>+S18/U4</f>
        <v>915.77279999999996</v>
      </c>
      <c r="V18" s="11">
        <v>10180.725259999999</v>
      </c>
      <c r="W18" s="11">
        <v>10180.725259999999</v>
      </c>
      <c r="X18" s="67">
        <f>+V18/X4</f>
        <v>1018.0725259999999</v>
      </c>
      <c r="Y18" s="11">
        <v>9906.2199999999993</v>
      </c>
      <c r="Z18" s="11">
        <v>9906.2199999999993</v>
      </c>
      <c r="AA18" s="67">
        <f>+Y18/AA4</f>
        <v>990.62199999999996</v>
      </c>
      <c r="AB18" s="11">
        <v>0</v>
      </c>
      <c r="AC18" s="11">
        <v>0</v>
      </c>
      <c r="AD18" s="67" t="e">
        <f>+AB18/AD4</f>
        <v>#DIV/0!</v>
      </c>
      <c r="AE18" s="11">
        <v>0</v>
      </c>
      <c r="AF18" s="11">
        <v>0</v>
      </c>
      <c r="AG18" s="67" t="e">
        <f>+AE18/AG4</f>
        <v>#DIV/0!</v>
      </c>
      <c r="AH18" s="11">
        <v>0</v>
      </c>
      <c r="AI18" s="11">
        <v>0</v>
      </c>
      <c r="AJ18" s="67" t="e">
        <f>+AH18/AJ4</f>
        <v>#DIV/0!</v>
      </c>
      <c r="AK18" s="11">
        <v>0</v>
      </c>
      <c r="AL18" s="11">
        <v>0</v>
      </c>
      <c r="AM18" s="67" t="e">
        <f>+AK18/AM4</f>
        <v>#DIV/0!</v>
      </c>
      <c r="AN18" s="16"/>
      <c r="AO18" s="16"/>
      <c r="AP18" s="92">
        <f t="shared" ref="AP18:AP20" si="2">+S18+AB18+AE18+AH18+AK18+Y18+P18+M18+J18+G18+D18+V18</f>
        <v>77936.697259999986</v>
      </c>
      <c r="AQ18" s="67">
        <f>+T18+AC18+AF18+AI18+AL18+Z18+W18+Q18+N18+K18+H18+E18</f>
        <v>77936.697259999986</v>
      </c>
      <c r="AR18" s="67">
        <f>+AP18/AR4</f>
        <v>7793.6697259999983</v>
      </c>
      <c r="AS18" s="14">
        <f t="shared" ref="AS18:AT20" si="3">+AP18/$AS$4</f>
        <v>9742.0871574999983</v>
      </c>
      <c r="AT18" s="67">
        <f t="shared" si="3"/>
        <v>9742.0871574999983</v>
      </c>
      <c r="AU18" s="67">
        <f>+AS18/AU4</f>
        <v>974.20871574999978</v>
      </c>
    </row>
    <row r="19" spans="2:47">
      <c r="B19" s="17" t="s">
        <v>32</v>
      </c>
      <c r="C19" s="16"/>
      <c r="D19" s="11">
        <v>842.55</v>
      </c>
      <c r="E19" s="11">
        <v>842.55</v>
      </c>
      <c r="F19" s="67">
        <f>+D19/F4</f>
        <v>84.254999999999995</v>
      </c>
      <c r="G19" s="11">
        <v>847.32</v>
      </c>
      <c r="H19" s="11">
        <v>847.32</v>
      </c>
      <c r="I19" s="67">
        <f>+G19/I4</f>
        <v>84.731999999999999</v>
      </c>
      <c r="J19" s="11">
        <v>938.22</v>
      </c>
      <c r="K19" s="11">
        <v>938.22</v>
      </c>
      <c r="L19" s="67">
        <f>+J19/L4</f>
        <v>93.822000000000003</v>
      </c>
      <c r="M19" s="11">
        <f>4326.55-3494.2732</f>
        <v>832.27680000000009</v>
      </c>
      <c r="N19" s="11">
        <f>4326.55-3494.2732</f>
        <v>832.27680000000009</v>
      </c>
      <c r="O19" s="67">
        <f>+M19/O4</f>
        <v>83.227680000000007</v>
      </c>
      <c r="P19" s="11">
        <v>912.29480000000001</v>
      </c>
      <c r="Q19" s="11">
        <v>912.29480000000001</v>
      </c>
      <c r="R19" s="67">
        <f>+P19/R4</f>
        <v>91.229479999999995</v>
      </c>
      <c r="S19" s="11">
        <v>848.54309999999998</v>
      </c>
      <c r="T19" s="11">
        <v>848.54309999999998</v>
      </c>
      <c r="U19" s="67">
        <f>+S19/U4</f>
        <v>84.854309999999998</v>
      </c>
      <c r="V19" s="11">
        <v>871.01329999999996</v>
      </c>
      <c r="W19" s="11">
        <v>871.01329999999996</v>
      </c>
      <c r="X19" s="67">
        <f>+V19/X4</f>
        <v>87.10132999999999</v>
      </c>
      <c r="Y19" s="11">
        <v>865.30970000000002</v>
      </c>
      <c r="Z19" s="11">
        <v>865.30970000000002</v>
      </c>
      <c r="AA19" s="67">
        <f>+Y19/AA4</f>
        <v>86.530969999999996</v>
      </c>
      <c r="AB19" s="11">
        <v>0</v>
      </c>
      <c r="AC19" s="11">
        <v>0</v>
      </c>
      <c r="AD19" s="67" t="e">
        <f>+AB19/AD4</f>
        <v>#DIV/0!</v>
      </c>
      <c r="AE19" s="11">
        <v>0</v>
      </c>
      <c r="AF19" s="11">
        <v>0</v>
      </c>
      <c r="AG19" s="67" t="e">
        <f>+AE19/AG4</f>
        <v>#DIV/0!</v>
      </c>
      <c r="AH19" s="11">
        <v>0</v>
      </c>
      <c r="AI19" s="11">
        <v>0</v>
      </c>
      <c r="AJ19" s="67" t="e">
        <f>+AH19/AJ4</f>
        <v>#DIV/0!</v>
      </c>
      <c r="AK19" s="11">
        <v>0</v>
      </c>
      <c r="AL19" s="11">
        <v>0</v>
      </c>
      <c r="AM19" s="67" t="e">
        <f>+AK19/AM4</f>
        <v>#DIV/0!</v>
      </c>
      <c r="AN19" s="16"/>
      <c r="AO19" s="16"/>
      <c r="AP19" s="92">
        <f t="shared" si="2"/>
        <v>6957.5276999999996</v>
      </c>
      <c r="AQ19" s="67">
        <f t="shared" ref="AQ19:AQ20" si="4">+T19+AC19+AF19+AI19+AL19+Z19+W19+Q19+N19+K19+H19+E19</f>
        <v>6957.5277000000006</v>
      </c>
      <c r="AR19" s="67">
        <f>+AP19/AR4</f>
        <v>695.75276999999994</v>
      </c>
      <c r="AS19" s="14">
        <f t="shared" si="3"/>
        <v>869.69096249999996</v>
      </c>
      <c r="AT19" s="67">
        <f t="shared" si="3"/>
        <v>869.69096250000007</v>
      </c>
      <c r="AU19" s="67">
        <f>+AS19/AU4</f>
        <v>86.969096249999993</v>
      </c>
    </row>
    <row r="20" spans="2:47">
      <c r="B20" s="17" t="s">
        <v>27</v>
      </c>
      <c r="C20" s="16"/>
      <c r="D20" s="11">
        <v>30.414709999999999</v>
      </c>
      <c r="E20" s="59">
        <v>31.154</v>
      </c>
      <c r="F20" s="67">
        <f>+D20/F4</f>
        <v>3.041471</v>
      </c>
      <c r="G20" s="11">
        <v>31.582930000000001</v>
      </c>
      <c r="H20" s="59">
        <v>31.582930000000001</v>
      </c>
      <c r="I20" s="67">
        <f>+G20/I4</f>
        <v>3.158293</v>
      </c>
      <c r="J20" s="11">
        <v>34.390999999999998</v>
      </c>
      <c r="K20" s="59">
        <v>34.391640000000002</v>
      </c>
      <c r="L20" s="67">
        <f>+J20/L4</f>
        <v>3.4390999999999998</v>
      </c>
      <c r="M20" s="11">
        <f>5.86766+151.09302-126.7669388</f>
        <v>30.193741199999991</v>
      </c>
      <c r="N20" s="59">
        <v>30.19373736</v>
      </c>
      <c r="O20" s="67">
        <f>+M20/O4</f>
        <v>3.0193741199999993</v>
      </c>
      <c r="P20" s="11">
        <f>5.9747+167.02972-139.72442</f>
        <v>33.28</v>
      </c>
      <c r="Q20" s="59">
        <v>33.279999099999998</v>
      </c>
      <c r="R20" s="67">
        <f>+P20/R4</f>
        <v>3.3280000000000003</v>
      </c>
      <c r="S20" s="11">
        <v>31.348628999999999</v>
      </c>
      <c r="T20" s="59">
        <v>31.34862</v>
      </c>
      <c r="U20" s="67">
        <f>+S20/U4</f>
        <v>3.1348628999999999</v>
      </c>
      <c r="V20" s="11">
        <f>7.73272+157.95934-133.8187069</f>
        <v>31.873353100000003</v>
      </c>
      <c r="W20" s="59">
        <v>31.873368500000002</v>
      </c>
      <c r="X20" s="67">
        <f>+V20/X4</f>
        <v>3.1873353100000004</v>
      </c>
      <c r="Y20" s="11">
        <v>31.692630000000001</v>
      </c>
      <c r="Z20" s="59">
        <v>31.692630000000001</v>
      </c>
      <c r="AA20" s="67">
        <f>+Y20/AA4</f>
        <v>3.1692629999999999</v>
      </c>
      <c r="AB20" s="11">
        <v>0</v>
      </c>
      <c r="AC20" s="59">
        <v>0</v>
      </c>
      <c r="AD20" s="67" t="e">
        <f>+AB20/AD4</f>
        <v>#DIV/0!</v>
      </c>
      <c r="AE20" s="11">
        <v>0</v>
      </c>
      <c r="AF20" s="59">
        <v>0</v>
      </c>
      <c r="AG20" s="67" t="e">
        <f>+AE20/AG4</f>
        <v>#DIV/0!</v>
      </c>
      <c r="AH20" s="11">
        <v>0</v>
      </c>
      <c r="AI20" s="59">
        <v>0</v>
      </c>
      <c r="AJ20" s="67" t="e">
        <f>+AH20/AJ4</f>
        <v>#DIV/0!</v>
      </c>
      <c r="AK20" s="11">
        <v>0</v>
      </c>
      <c r="AL20" s="59">
        <v>0</v>
      </c>
      <c r="AM20" s="67" t="e">
        <f>+AK20/AM4</f>
        <v>#DIV/0!</v>
      </c>
      <c r="AN20" s="16"/>
      <c r="AO20" s="16"/>
      <c r="AP20" s="92">
        <f t="shared" si="2"/>
        <v>254.77699329999999</v>
      </c>
      <c r="AQ20" s="67">
        <f t="shared" si="4"/>
        <v>255.51692496000001</v>
      </c>
      <c r="AR20" s="67">
        <f>+AP20/AR4</f>
        <v>25.47769933</v>
      </c>
      <c r="AS20" s="14">
        <f t="shared" si="3"/>
        <v>31.847124162499998</v>
      </c>
      <c r="AT20" s="67">
        <f t="shared" si="3"/>
        <v>31.939615620000001</v>
      </c>
      <c r="AU20" s="67">
        <f>+AS20/AU4</f>
        <v>3.18471241625</v>
      </c>
    </row>
    <row r="21" spans="2:47">
      <c r="B21" s="18" t="s">
        <v>18</v>
      </c>
      <c r="C21" s="16"/>
      <c r="D21" s="44">
        <f t="shared" ref="D21:E21" si="5">+D20/D19*1000</f>
        <v>36.098403655569406</v>
      </c>
      <c r="E21" s="60">
        <f t="shared" si="5"/>
        <v>36.975847130734081</v>
      </c>
      <c r="F21" s="60"/>
      <c r="G21" s="44">
        <f t="shared" ref="G21:H21" si="6">+G20/G19*1000</f>
        <v>37.273910683094932</v>
      </c>
      <c r="H21" s="60">
        <f t="shared" si="6"/>
        <v>37.273910683094932</v>
      </c>
      <c r="I21" s="60"/>
      <c r="J21" s="44">
        <f t="shared" ref="J21:K21" si="7">+J20/J19*1000</f>
        <v>36.655581846475236</v>
      </c>
      <c r="K21" s="60">
        <f t="shared" si="7"/>
        <v>36.656263989256253</v>
      </c>
      <c r="L21" s="60"/>
      <c r="M21" s="44">
        <f t="shared" ref="M21:N21" si="8">+M20/M19*1000</f>
        <v>36.278484754110636</v>
      </c>
      <c r="N21" s="60">
        <f t="shared" si="8"/>
        <v>36.278480140261024</v>
      </c>
      <c r="O21" s="60"/>
      <c r="P21" s="44">
        <f t="shared" ref="P21:Q21" si="9">+P20/P19*1000</f>
        <v>36.479436252404376</v>
      </c>
      <c r="Q21" s="60">
        <f t="shared" si="9"/>
        <v>36.479435265881158</v>
      </c>
      <c r="R21" s="60"/>
      <c r="S21" s="44">
        <f t="shared" ref="S21:AC21" si="10">+S20/S19*1000</f>
        <v>36.944062122477924</v>
      </c>
      <c r="T21" s="60">
        <f t="shared" si="10"/>
        <v>36.94405151606324</v>
      </c>
      <c r="U21" s="60"/>
      <c r="V21" s="44">
        <f t="shared" ref="V21:W21" si="11">+V20/V19*1000</f>
        <v>36.59341723025355</v>
      </c>
      <c r="W21" s="60">
        <f t="shared" si="11"/>
        <v>36.593434910810203</v>
      </c>
      <c r="X21" s="68"/>
      <c r="Y21" s="44">
        <f t="shared" ref="Y21:Z21" si="12">+Y20/Y19*1000</f>
        <v>36.625765318474997</v>
      </c>
      <c r="Z21" s="60">
        <f t="shared" si="12"/>
        <v>36.625765318474997</v>
      </c>
      <c r="AA21" s="68"/>
      <c r="AB21" s="44" t="e">
        <f t="shared" si="10"/>
        <v>#DIV/0!</v>
      </c>
      <c r="AC21" s="60" t="e">
        <f t="shared" si="10"/>
        <v>#DIV/0!</v>
      </c>
      <c r="AD21" s="60"/>
      <c r="AE21" s="44" t="e">
        <f t="shared" ref="AE21:AF21" si="13">+AE20/AE19*1000</f>
        <v>#DIV/0!</v>
      </c>
      <c r="AF21" s="60" t="e">
        <f t="shared" si="13"/>
        <v>#DIV/0!</v>
      </c>
      <c r="AG21" s="60"/>
      <c r="AH21" s="44" t="e">
        <f t="shared" ref="AH21:AI21" si="14">+AH20/AH19*1000</f>
        <v>#DIV/0!</v>
      </c>
      <c r="AI21" s="60" t="e">
        <f t="shared" si="14"/>
        <v>#DIV/0!</v>
      </c>
      <c r="AJ21" s="60"/>
      <c r="AK21" s="44" t="e">
        <f t="shared" ref="AK21:AL21" si="15">+AK20/AK19*1000</f>
        <v>#DIV/0!</v>
      </c>
      <c r="AL21" s="60" t="e">
        <f t="shared" si="15"/>
        <v>#DIV/0!</v>
      </c>
      <c r="AM21" s="16"/>
      <c r="AN21" s="16"/>
      <c r="AO21" s="16"/>
      <c r="AP21" s="45">
        <f>+AP20/AP19*1000</f>
        <v>36.618897442549887</v>
      </c>
      <c r="AQ21" s="68">
        <f>+AQ20/AQ19*1000</f>
        <v>36.72524723976305</v>
      </c>
      <c r="AR21" s="60"/>
      <c r="AS21" s="45">
        <f>+AS20/AS19*1000</f>
        <v>36.618897442549887</v>
      </c>
      <c r="AT21" s="68">
        <f>+AT20/AT19*1000</f>
        <v>36.72524723976305</v>
      </c>
      <c r="AU21" s="60"/>
    </row>
    <row r="22" spans="2:47">
      <c r="B22" s="18" t="s">
        <v>21</v>
      </c>
      <c r="C22" s="16"/>
      <c r="D22" s="46">
        <f>+D19/D18</f>
        <v>9.2996688741721845E-2</v>
      </c>
      <c r="E22" s="46">
        <f>+E19/E18</f>
        <v>9.2996688741721845E-2</v>
      </c>
      <c r="F22" s="61"/>
      <c r="G22" s="46">
        <f>+G19/G18</f>
        <v>9.3091628213579442E-2</v>
      </c>
      <c r="H22" s="46">
        <f>+H19/H18</f>
        <v>9.3091628213579442E-2</v>
      </c>
      <c r="I22" s="61"/>
      <c r="J22" s="46">
        <f>+J19/J18</f>
        <v>7.9814547001276048E-2</v>
      </c>
      <c r="K22" s="46">
        <f>+K19/K18</f>
        <v>7.9814547001276048E-2</v>
      </c>
      <c r="L22" s="61"/>
      <c r="M22" s="46">
        <f>+M19/M18</f>
        <v>8.9913465465050232E-2</v>
      </c>
      <c r="N22" s="46">
        <f>+N19/N18</f>
        <v>8.9913465465050232E-2</v>
      </c>
      <c r="O22" s="61"/>
      <c r="P22" s="46">
        <f>+P19/P18</f>
        <v>9.5843340052806064E-2</v>
      </c>
      <c r="Q22" s="46">
        <f>+Q19/Q18</f>
        <v>9.5843340052806064E-2</v>
      </c>
      <c r="R22" s="61"/>
      <c r="S22" s="46">
        <f>+S19/S18</f>
        <v>9.2658692199637294E-2</v>
      </c>
      <c r="T22" s="46">
        <f>+T19/T18</f>
        <v>9.2658692199637294E-2</v>
      </c>
      <c r="U22" s="61"/>
      <c r="V22" s="88">
        <f>+V19/V18</f>
        <v>8.5555132640913648E-2</v>
      </c>
      <c r="W22" s="47">
        <f>+W19/W18</f>
        <v>8.5555132640913648E-2</v>
      </c>
      <c r="X22" s="69"/>
      <c r="Y22" s="88">
        <f>+Y19/Y18</f>
        <v>8.7350139609255611E-2</v>
      </c>
      <c r="Z22" s="47">
        <f>+Z19/Z18</f>
        <v>8.7350139609255611E-2</v>
      </c>
      <c r="AA22" s="69"/>
      <c r="AB22" s="88" t="e">
        <f>+AB19/AB18</f>
        <v>#DIV/0!</v>
      </c>
      <c r="AC22" s="47" t="e">
        <f>+AC19/AC18</f>
        <v>#DIV/0!</v>
      </c>
      <c r="AD22" s="61"/>
      <c r="AE22" s="88" t="e">
        <f>+AE19/AE18</f>
        <v>#DIV/0!</v>
      </c>
      <c r="AF22" s="47" t="e">
        <f>+AF19/AF18</f>
        <v>#DIV/0!</v>
      </c>
      <c r="AG22" s="61"/>
      <c r="AH22" s="88" t="e">
        <f>+AH19/AH18</f>
        <v>#DIV/0!</v>
      </c>
      <c r="AI22" s="47" t="e">
        <f>+AI19/AI18</f>
        <v>#DIV/0!</v>
      </c>
      <c r="AJ22" s="61"/>
      <c r="AK22" s="88" t="e">
        <f>+AK19/AK18</f>
        <v>#DIV/0!</v>
      </c>
      <c r="AL22" s="47" t="e">
        <f>+AL19/AL18</f>
        <v>#DIV/0!</v>
      </c>
      <c r="AM22" s="16"/>
      <c r="AN22" s="16"/>
      <c r="AO22" s="16"/>
      <c r="AP22" s="47">
        <f>+AP19/AP18</f>
        <v>8.9271523487701884E-2</v>
      </c>
      <c r="AQ22" s="47">
        <f>+AQ19/AQ18</f>
        <v>8.9271523487701898E-2</v>
      </c>
      <c r="AR22" s="61"/>
      <c r="AS22" s="47">
        <f>+AS19/AS18</f>
        <v>8.9271523487701884E-2</v>
      </c>
      <c r="AT22" s="47">
        <f>+AT19/AT18</f>
        <v>8.9271523487701898E-2</v>
      </c>
      <c r="AU22" s="61"/>
    </row>
    <row r="23" spans="2:47">
      <c r="B23" s="10" t="s">
        <v>28</v>
      </c>
      <c r="C23" s="10"/>
      <c r="D23" s="48">
        <f>+D20*1000/(D18*D21)*100</f>
        <v>9.2996688741721822</v>
      </c>
      <c r="E23" s="48">
        <f>+E20*1000/(E18*E21)*100</f>
        <v>9.2996688741721858</v>
      </c>
      <c r="F23" s="62"/>
      <c r="G23" s="48">
        <f>+G20*1000/(G18*G21)*100</f>
        <v>9.3091628213579423</v>
      </c>
      <c r="H23" s="48">
        <f>+H20*1000/(H18*H21)*100</f>
        <v>9.3091628213579423</v>
      </c>
      <c r="I23" s="62"/>
      <c r="J23" s="48">
        <f>+J20*1000/(J18*J21)*100</f>
        <v>7.9814547001276059</v>
      </c>
      <c r="K23" s="48">
        <f>+K20*1000/(K18*K21)*100</f>
        <v>7.9814547001276051</v>
      </c>
      <c r="L23" s="62"/>
      <c r="M23" s="48">
        <f>+M20*1000/(M18*M21)*100</f>
        <v>8.9913465465050226</v>
      </c>
      <c r="N23" s="48">
        <f>+N20*1000/(N18*N21)*100</f>
        <v>8.9913465465050226</v>
      </c>
      <c r="O23" s="62"/>
      <c r="P23" s="48">
        <f>+P20*1000/(P18*P21)*100</f>
        <v>9.5843340052806081</v>
      </c>
      <c r="Q23" s="48">
        <f>+Q20*1000/(Q18*Q21)*100</f>
        <v>9.5843340052806081</v>
      </c>
      <c r="R23" s="62"/>
      <c r="S23" s="48">
        <f>+S20*1000/(S18*S21)*100</f>
        <v>9.2658692199637311</v>
      </c>
      <c r="T23" s="48">
        <f>+T20*1000/(T18*T21)*100</f>
        <v>9.2658692199637294</v>
      </c>
      <c r="U23" s="62"/>
      <c r="V23" s="49">
        <f>+V20*1000/(V18*V21)*100</f>
        <v>8.5555132640913651</v>
      </c>
      <c r="W23" s="49">
        <f>+W20/(W18*W21)*1000*100</f>
        <v>8.5555132640913651</v>
      </c>
      <c r="X23" s="70"/>
      <c r="Y23" s="49">
        <f>+Y20*1000/(Y18*Y21)*100</f>
        <v>8.7350139609255599</v>
      </c>
      <c r="Z23" s="49">
        <f>+Z20/(Z18*Z21)*1000*100</f>
        <v>8.7350139609255599</v>
      </c>
      <c r="AA23" s="70"/>
      <c r="AB23" s="49" t="e">
        <f>+AB20*1000/(AB18*AB21)*100</f>
        <v>#DIV/0!</v>
      </c>
      <c r="AC23" s="49" t="e">
        <f>+AC20/(AC18*AC21)*1000*100</f>
        <v>#DIV/0!</v>
      </c>
      <c r="AD23" s="62"/>
      <c r="AE23" s="49" t="e">
        <f>+AE20*1000/(AE18*AE21)*100</f>
        <v>#DIV/0!</v>
      </c>
      <c r="AF23" s="49" t="e">
        <f>+AF20/(AF18*AF21)*1000*100</f>
        <v>#DIV/0!</v>
      </c>
      <c r="AG23" s="62"/>
      <c r="AH23" s="49" t="e">
        <f>+AH20*1000/(AH18*AH21)*100</f>
        <v>#DIV/0!</v>
      </c>
      <c r="AI23" s="49" t="e">
        <f>+AI20/(AI18*AI21)*1000*100</f>
        <v>#DIV/0!</v>
      </c>
      <c r="AJ23" s="62"/>
      <c r="AK23" s="49" t="e">
        <f>+AK20*1000/(AK18*AK21)*100</f>
        <v>#DIV/0!</v>
      </c>
      <c r="AL23" s="49" t="e">
        <f>+AL20/(AL18*AL21)*1000*100</f>
        <v>#DIV/0!</v>
      </c>
      <c r="AM23" s="16"/>
      <c r="AN23" s="16"/>
      <c r="AO23" s="16"/>
      <c r="AP23" s="49">
        <f>+AP20/(AP18*AP21)*1000*100</f>
        <v>8.9271523487701891</v>
      </c>
      <c r="AQ23" s="49">
        <f>+AQ20/(AQ18*AQ21)*1000*100</f>
        <v>8.9271523487701891</v>
      </c>
      <c r="AR23" s="62"/>
      <c r="AS23" s="49">
        <f>+AS20/(AS18*AS21)*1000*100</f>
        <v>8.9271523487701891</v>
      </c>
      <c r="AT23" s="49">
        <f>+AT20/(AT18*AT21)*1000*100</f>
        <v>8.9271523487701891</v>
      </c>
    </row>
    <row r="24" spans="2:47">
      <c r="B24" s="18" t="s">
        <v>38</v>
      </c>
      <c r="C24" s="10"/>
      <c r="D24" s="48">
        <f>+D20/D18*1000</f>
        <v>3.3570320088300218</v>
      </c>
      <c r="E24" s="48">
        <f>+E20/E18*1000</f>
        <v>3.4386313465783664</v>
      </c>
      <c r="F24" s="62"/>
      <c r="G24" s="48">
        <f>+G20/G18*1000</f>
        <v>3.4698890353768403</v>
      </c>
      <c r="H24" s="48">
        <f>+H20/H18*1000</f>
        <v>3.4698890353768403</v>
      </c>
      <c r="I24" s="62"/>
      <c r="J24" s="48">
        <f>+J20/J18*1000</f>
        <v>2.9256486601446188</v>
      </c>
      <c r="K24" s="48">
        <f>+K20/K18*1000</f>
        <v>2.9257031050616757</v>
      </c>
      <c r="L24" s="62"/>
      <c r="M24" s="48">
        <f>+M20/M18*1000</f>
        <v>3.2619242860630782</v>
      </c>
      <c r="N24" s="48">
        <f>+N20/N18*1000</f>
        <v>3.26192387121587</v>
      </c>
      <c r="O24" s="62"/>
      <c r="P24" s="48">
        <f>+P20/P18*1000</f>
        <v>3.4963110136738544</v>
      </c>
      <c r="Q24" s="48">
        <f>+Q20/Q18*1000</f>
        <v>3.4963109191221737</v>
      </c>
      <c r="R24" s="62"/>
      <c r="S24" s="48">
        <f>+S20/S18*1000</f>
        <v>3.4231884808109609</v>
      </c>
      <c r="T24" s="48">
        <f>+T20/T18*1000</f>
        <v>3.4231874980344474</v>
      </c>
      <c r="U24" s="62"/>
      <c r="V24" s="48">
        <f>+V20/V18*1000</f>
        <v>3.1307546649186371</v>
      </c>
      <c r="W24" s="48">
        <f>+W20/W18*1000</f>
        <v>3.1307561775810071</v>
      </c>
      <c r="X24" s="62"/>
      <c r="Y24" s="48">
        <f>+Y20/Y18*1000</f>
        <v>3.1992657138646226</v>
      </c>
      <c r="Z24" s="48">
        <f>+Z20/Z18*1000</f>
        <v>3.1992657138646226</v>
      </c>
      <c r="AA24" s="62"/>
      <c r="AB24" s="48" t="e">
        <f>+AB20/AB18*1000</f>
        <v>#DIV/0!</v>
      </c>
      <c r="AC24" s="48" t="e">
        <f>+AC20/AC18*1000</f>
        <v>#DIV/0!</v>
      </c>
      <c r="AD24" s="62"/>
      <c r="AE24" s="48" t="e">
        <f>+AE20/AE18*1000</f>
        <v>#DIV/0!</v>
      </c>
      <c r="AF24" s="48" t="e">
        <f>+AF20/AF18*1000</f>
        <v>#DIV/0!</v>
      </c>
      <c r="AG24" s="62"/>
      <c r="AH24" s="48" t="e">
        <f>+AH20/AH18*1000</f>
        <v>#DIV/0!</v>
      </c>
      <c r="AI24" s="48" t="e">
        <f>+AI20/AI18*1000</f>
        <v>#DIV/0!</v>
      </c>
      <c r="AJ24" s="62"/>
      <c r="AK24" s="48" t="e">
        <f>+AK20/AK18*1000</f>
        <v>#DIV/0!</v>
      </c>
      <c r="AL24" s="48" t="e">
        <f>+AL20/AL18*1000</f>
        <v>#DIV/0!</v>
      </c>
      <c r="AM24" s="16"/>
      <c r="AN24" s="16"/>
      <c r="AO24" s="16"/>
      <c r="AP24" s="48">
        <f>+AP20/AP18*1000</f>
        <v>3.2690247631363385</v>
      </c>
      <c r="AQ24" s="48">
        <f>+AQ20/AQ18*1000</f>
        <v>3.2785187715561666</v>
      </c>
      <c r="AR24" s="62"/>
      <c r="AS24" s="48">
        <f>+AS20/AS18*1000</f>
        <v>3.2690247631363385</v>
      </c>
      <c r="AT24" s="48">
        <f>+AT20/AT18*1000</f>
        <v>3.2785187715561666</v>
      </c>
    </row>
    <row r="25" spans="2:47" ht="7.5" customHeight="1">
      <c r="B25" s="16"/>
      <c r="E25" s="63"/>
      <c r="F25" s="63"/>
      <c r="H25" s="63"/>
      <c r="I25" s="63"/>
      <c r="K25" s="63"/>
      <c r="L25" s="63"/>
      <c r="N25" s="63"/>
      <c r="O25" s="63"/>
      <c r="Q25" s="63"/>
      <c r="R25" s="63"/>
      <c r="T25" s="63"/>
      <c r="U25" s="63"/>
      <c r="W25" s="63"/>
      <c r="X25" s="74"/>
      <c r="Z25" s="63"/>
      <c r="AA25" s="74"/>
      <c r="AC25" s="63"/>
      <c r="AD25" s="63"/>
      <c r="AF25" s="63"/>
      <c r="AG25" s="63"/>
      <c r="AI25" s="63"/>
      <c r="AJ25" s="63"/>
      <c r="AQ25" s="63"/>
      <c r="AR25" s="63"/>
      <c r="AT25" s="63"/>
    </row>
    <row r="26" spans="2:47">
      <c r="B26" s="20" t="s">
        <v>35</v>
      </c>
      <c r="C26" s="19"/>
      <c r="D26" s="21">
        <f>+D8/(1-D6/D5)</f>
        <v>1014.7292643786179</v>
      </c>
      <c r="E26" s="63"/>
      <c r="F26" s="63"/>
      <c r="G26" s="21">
        <f>+G8/(1-G6/G5)</f>
        <v>1005.3884530336118</v>
      </c>
      <c r="H26" s="63"/>
      <c r="I26" s="63"/>
      <c r="J26" s="21">
        <f>+J8/(1-J6/J5)</f>
        <v>1018.7343700194722</v>
      </c>
      <c r="K26" s="63"/>
      <c r="L26" s="63"/>
      <c r="M26" s="21">
        <f>+M8/(1-M6/M5)</f>
        <v>1131.7682455844458</v>
      </c>
      <c r="N26" s="63"/>
      <c r="O26" s="63"/>
      <c r="P26" s="21">
        <f>+P8/(1-P6/P5)</f>
        <v>1262.425437408054</v>
      </c>
      <c r="Q26" s="63"/>
      <c r="R26" s="63"/>
      <c r="S26" s="21">
        <f>+S8/(1-S6/S5)</f>
        <v>1154.342098990908</v>
      </c>
      <c r="T26" s="63"/>
      <c r="U26" s="63"/>
      <c r="V26" s="21">
        <f>+V8/(1-V6/V5)</f>
        <v>1432.1937401737123</v>
      </c>
      <c r="W26" s="63"/>
      <c r="X26" s="74"/>
      <c r="Y26" s="21">
        <f>+Y8/(1-Y6/Y5)</f>
        <v>1182.0876660586841</v>
      </c>
      <c r="Z26" s="63"/>
      <c r="AA26" s="74"/>
      <c r="AB26" s="21" t="e">
        <f>+AB8/(1-AB6/AB5)</f>
        <v>#DIV/0!</v>
      </c>
      <c r="AC26" s="63"/>
      <c r="AD26" s="63"/>
      <c r="AE26" s="21" t="e">
        <f>+AE8/(1-AE6/AE5)</f>
        <v>#DIV/0!</v>
      </c>
      <c r="AF26" s="63"/>
      <c r="AG26" s="63"/>
      <c r="AH26" s="21" t="e">
        <f>+AH8/(1-AH6/AH5)</f>
        <v>#DIV/0!</v>
      </c>
      <c r="AI26" s="63"/>
      <c r="AJ26" s="63"/>
      <c r="AK26" s="21" t="e">
        <f>+AK8/(1-AK6/AK5)</f>
        <v>#DIV/0!</v>
      </c>
      <c r="AP26" s="31">
        <f>+AP8/(1-AP6/AP5)</f>
        <v>9197.4133986982597</v>
      </c>
      <c r="AQ26" s="71"/>
      <c r="AR26" s="71"/>
      <c r="AS26" s="31">
        <f>+AS8/(1-AS6/AS5)</f>
        <v>1149.6766748372825</v>
      </c>
      <c r="AT26" s="71"/>
    </row>
    <row r="27" spans="2:47">
      <c r="Y27" s="12"/>
    </row>
    <row r="28" spans="2:47">
      <c r="Y28" s="12"/>
    </row>
    <row r="29" spans="2:47">
      <c r="Y29" s="12"/>
    </row>
    <row r="30" spans="2:47">
      <c r="Y30" s="12"/>
    </row>
    <row r="31" spans="2:47">
      <c r="Y31" s="12"/>
    </row>
    <row r="32" spans="2:47">
      <c r="Y32" s="12"/>
    </row>
    <row r="33" spans="25:25">
      <c r="Y33" s="12"/>
    </row>
    <row r="34" spans="25:25">
      <c r="Y34" s="12"/>
    </row>
    <row r="35" spans="25:25">
      <c r="Y35" s="12"/>
    </row>
    <row r="36" spans="25:25">
      <c r="Y36" s="12"/>
    </row>
    <row r="37" spans="25:25">
      <c r="Y37" s="12"/>
    </row>
    <row r="38" spans="25:25">
      <c r="Y38" s="12"/>
    </row>
    <row r="39" spans="25:25">
      <c r="Y39" s="12"/>
    </row>
    <row r="40" spans="25:25">
      <c r="Y40" s="12"/>
    </row>
    <row r="41" spans="25:25">
      <c r="Y41" s="12"/>
    </row>
    <row r="42" spans="25:25">
      <c r="Y42" s="12"/>
    </row>
    <row r="43" spans="25:25">
      <c r="Y43" s="12"/>
    </row>
    <row r="44" spans="25:25">
      <c r="Y44" s="12"/>
    </row>
    <row r="45" spans="25:25">
      <c r="Y45" s="12"/>
    </row>
    <row r="46" spans="25:25">
      <c r="Y46" s="12"/>
    </row>
    <row r="47" spans="25:25">
      <c r="Y47" s="12"/>
    </row>
    <row r="48" spans="25:25">
      <c r="Y48" s="12"/>
    </row>
    <row r="49" spans="25:25">
      <c r="Y49" s="12"/>
    </row>
    <row r="50" spans="25:25">
      <c r="Y50" s="12"/>
    </row>
    <row r="51" spans="25:25">
      <c r="Y51" s="12"/>
    </row>
    <row r="52" spans="25:25">
      <c r="Y52" s="12"/>
    </row>
    <row r="53" spans="25:25">
      <c r="Y53" s="12"/>
    </row>
    <row r="54" spans="25:25">
      <c r="Y54" s="12"/>
    </row>
    <row r="55" spans="25:25">
      <c r="Y55" s="12"/>
    </row>
    <row r="56" spans="25:25">
      <c r="Y56" s="12"/>
    </row>
    <row r="57" spans="25:25">
      <c r="Y57" s="12"/>
    </row>
    <row r="58" spans="25:25">
      <c r="Y58" s="12"/>
    </row>
    <row r="59" spans="25:25">
      <c r="Y59" s="12"/>
    </row>
    <row r="60" spans="25:25">
      <c r="Y60" s="12"/>
    </row>
    <row r="61" spans="25:25">
      <c r="Y61" s="12"/>
    </row>
    <row r="62" spans="25:25">
      <c r="Y62" s="12"/>
    </row>
    <row r="63" spans="25:25">
      <c r="Y63" s="12"/>
    </row>
    <row r="64" spans="25:25">
      <c r="Y64" s="12"/>
    </row>
    <row r="65" spans="25:25">
      <c r="Y65" s="12"/>
    </row>
    <row r="66" spans="25:25">
      <c r="Y66" s="12"/>
    </row>
    <row r="67" spans="25:25">
      <c r="Y67" s="12"/>
    </row>
    <row r="68" spans="25:25">
      <c r="Y68" s="12"/>
    </row>
    <row r="69" spans="25:25">
      <c r="Y69" s="12"/>
    </row>
    <row r="70" spans="25:25">
      <c r="Y70" s="12"/>
    </row>
    <row r="71" spans="25:25">
      <c r="Y71" s="12"/>
    </row>
    <row r="72" spans="25:25">
      <c r="Y72" s="12"/>
    </row>
    <row r="73" spans="25:25">
      <c r="Y73" s="12"/>
    </row>
    <row r="74" spans="25:25">
      <c r="Y74" s="12"/>
    </row>
    <row r="75" spans="25:25">
      <c r="Y75" s="12"/>
    </row>
    <row r="76" spans="25:25">
      <c r="Y76" s="12"/>
    </row>
    <row r="77" spans="25:25">
      <c r="Y77" s="12"/>
    </row>
    <row r="78" spans="25:25">
      <c r="Y78" s="12"/>
    </row>
  </sheetData>
  <pageMargins left="0.19685039370078741" right="0.15748031496062992" top="0.62992125984251968" bottom="0.78740157480314965" header="0.31496062992125984" footer="0.31496062992125984"/>
  <pageSetup paperSize="9" scale="79" fitToHeight="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B1:AU78"/>
  <sheetViews>
    <sheetView zoomScaleNormal="100" workbookViewId="0">
      <pane xSplit="3" ySplit="4" topLeftCell="T5" activePane="bottomRight" state="frozen"/>
      <selection pane="topRight" activeCell="C1" sqref="C1"/>
      <selection pane="bottomLeft" activeCell="A5" sqref="A5"/>
      <selection pane="bottomRight" activeCell="Z1" sqref="Z1"/>
    </sheetView>
  </sheetViews>
  <sheetFormatPr defaultRowHeight="15"/>
  <cols>
    <col min="1" max="1" width="1.7109375" customWidth="1"/>
    <col min="2" max="2" width="25.5703125" customWidth="1"/>
    <col min="3" max="3" width="1.7109375" customWidth="1"/>
    <col min="4" max="4" width="13.7109375" customWidth="1"/>
    <col min="5" max="5" width="8.7109375" customWidth="1"/>
    <col min="6" max="6" width="5.7109375" customWidth="1"/>
    <col min="7" max="7" width="13.7109375" customWidth="1"/>
    <col min="8" max="8" width="8.7109375" customWidth="1"/>
    <col min="9" max="9" width="5.7109375" customWidth="1"/>
    <col min="10" max="10" width="13.7109375" customWidth="1"/>
    <col min="11" max="11" width="8.7109375" customWidth="1"/>
    <col min="12" max="12" width="5.7109375" customWidth="1"/>
    <col min="13" max="13" width="13.7109375" customWidth="1"/>
    <col min="14" max="14" width="8.7109375" customWidth="1"/>
    <col min="15" max="15" width="5.7109375" customWidth="1"/>
    <col min="16" max="16" width="13.7109375" customWidth="1"/>
    <col min="17" max="17" width="8.7109375" customWidth="1"/>
    <col min="18" max="18" width="5.7109375" customWidth="1"/>
    <col min="19" max="19" width="13.7109375" customWidth="1"/>
    <col min="20" max="20" width="8.7109375" customWidth="1"/>
    <col min="21" max="21" width="5.7109375" customWidth="1"/>
    <col min="22" max="22" width="13.7109375" customWidth="1"/>
    <col min="23" max="23" width="8.7109375" customWidth="1"/>
    <col min="24" max="24" width="5.7109375" customWidth="1"/>
    <col min="25" max="25" width="13.7109375" customWidth="1"/>
    <col min="26" max="26" width="8.7109375" customWidth="1"/>
    <col min="27" max="27" width="5.7109375" customWidth="1"/>
    <col min="28" max="28" width="13.7109375" customWidth="1"/>
    <col min="29" max="29" width="8.7109375" customWidth="1"/>
    <col min="30" max="30" width="5.7109375" customWidth="1"/>
    <col min="31" max="31" width="13.7109375" customWidth="1"/>
    <col min="32" max="32" width="8.7109375" customWidth="1"/>
    <col min="33" max="33" width="5.7109375" customWidth="1"/>
    <col min="34" max="34" width="13.7109375" customWidth="1"/>
    <col min="35" max="35" width="8.7109375" customWidth="1"/>
    <col min="36" max="36" width="5.7109375" customWidth="1"/>
    <col min="37" max="37" width="13.7109375" customWidth="1"/>
    <col min="38" max="38" width="8.7109375" customWidth="1"/>
    <col min="39" max="39" width="5.7109375" customWidth="1"/>
    <col min="40" max="41" width="2.7109375" customWidth="1"/>
    <col min="42" max="42" width="13.7109375" customWidth="1"/>
    <col min="43" max="43" width="8.7109375" customWidth="1"/>
    <col min="44" max="44" width="5.7109375" customWidth="1"/>
    <col min="45" max="45" width="13.7109375" customWidth="1"/>
    <col min="46" max="46" width="8.7109375" customWidth="1"/>
    <col min="47" max="47" width="5.7109375" customWidth="1"/>
    <col min="48" max="49" width="2.7109375" customWidth="1"/>
    <col min="50" max="50" width="13.7109375" customWidth="1"/>
    <col min="52" max="52" width="13.7109375" customWidth="1"/>
  </cols>
  <sheetData>
    <row r="1" spans="2:47" ht="15.75">
      <c r="B1" s="2" t="s">
        <v>0</v>
      </c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1"/>
      <c r="Z1" s="51"/>
      <c r="AA1" s="51"/>
      <c r="AB1" s="50"/>
      <c r="AC1" s="50"/>
      <c r="AD1" s="50"/>
      <c r="AE1" s="50"/>
      <c r="AF1" s="50"/>
      <c r="AG1" s="50"/>
      <c r="AH1" s="50"/>
      <c r="AI1" s="50"/>
      <c r="AJ1" s="50"/>
      <c r="AK1" s="50"/>
      <c r="AL1" s="50"/>
      <c r="AM1" s="50"/>
      <c r="AN1" s="50"/>
      <c r="AO1" s="50"/>
      <c r="AP1" s="50"/>
      <c r="AQ1" s="50"/>
      <c r="AR1" s="50"/>
      <c r="AS1" s="50"/>
      <c r="AT1" s="50"/>
    </row>
    <row r="2" spans="2:47">
      <c r="B2" s="41" t="s">
        <v>34</v>
      </c>
      <c r="C2" s="50"/>
      <c r="D2" s="34" t="s">
        <v>2</v>
      </c>
      <c r="E2" s="52" t="s">
        <v>23</v>
      </c>
      <c r="F2" s="52" t="s">
        <v>36</v>
      </c>
      <c r="G2" s="34" t="s">
        <v>2</v>
      </c>
      <c r="H2" s="52" t="s">
        <v>23</v>
      </c>
      <c r="I2" s="52" t="s">
        <v>36</v>
      </c>
      <c r="J2" s="34" t="s">
        <v>2</v>
      </c>
      <c r="K2" s="52" t="s">
        <v>23</v>
      </c>
      <c r="L2" s="52" t="s">
        <v>36</v>
      </c>
      <c r="M2" s="34" t="s">
        <v>2</v>
      </c>
      <c r="N2" s="52" t="s">
        <v>23</v>
      </c>
      <c r="O2" s="52" t="s">
        <v>36</v>
      </c>
      <c r="P2" s="34" t="s">
        <v>2</v>
      </c>
      <c r="Q2" s="52" t="s">
        <v>23</v>
      </c>
      <c r="R2" s="52" t="s">
        <v>36</v>
      </c>
      <c r="S2" s="34" t="s">
        <v>2</v>
      </c>
      <c r="T2" s="52" t="s">
        <v>23</v>
      </c>
      <c r="U2" s="52" t="s">
        <v>36</v>
      </c>
      <c r="V2" s="34" t="s">
        <v>2</v>
      </c>
      <c r="W2" s="72" t="s">
        <v>23</v>
      </c>
      <c r="X2" s="52" t="s">
        <v>36</v>
      </c>
      <c r="Y2" s="34" t="s">
        <v>2</v>
      </c>
      <c r="Z2" s="72" t="s">
        <v>23</v>
      </c>
      <c r="AA2" s="52" t="s">
        <v>36</v>
      </c>
      <c r="AB2" s="3" t="s">
        <v>2</v>
      </c>
      <c r="AC2" s="72" t="s">
        <v>23</v>
      </c>
      <c r="AD2" s="52" t="s">
        <v>36</v>
      </c>
      <c r="AE2" s="3" t="s">
        <v>2</v>
      </c>
      <c r="AF2" s="72" t="s">
        <v>23</v>
      </c>
      <c r="AG2" s="52" t="s">
        <v>36</v>
      </c>
      <c r="AH2" s="3" t="s">
        <v>2</v>
      </c>
      <c r="AI2" s="72" t="s">
        <v>23</v>
      </c>
      <c r="AJ2" s="52" t="s">
        <v>36</v>
      </c>
      <c r="AK2" s="3" t="s">
        <v>2</v>
      </c>
      <c r="AL2" s="72" t="s">
        <v>23</v>
      </c>
      <c r="AM2" s="52" t="s">
        <v>36</v>
      </c>
      <c r="AN2" s="50"/>
      <c r="AO2" s="50"/>
      <c r="AP2" s="3" t="s">
        <v>2</v>
      </c>
      <c r="AQ2" s="52" t="s">
        <v>23</v>
      </c>
      <c r="AR2" s="52" t="s">
        <v>36</v>
      </c>
      <c r="AS2" s="42" t="s">
        <v>12</v>
      </c>
      <c r="AT2" s="50"/>
      <c r="AU2" s="52" t="s">
        <v>36</v>
      </c>
    </row>
    <row r="3" spans="2:47">
      <c r="B3" s="42" t="s">
        <v>1</v>
      </c>
      <c r="C3" s="50"/>
      <c r="D3" s="90" t="s">
        <v>54</v>
      </c>
      <c r="E3" s="23" t="s">
        <v>24</v>
      </c>
      <c r="F3" s="3" t="s">
        <v>37</v>
      </c>
      <c r="G3" s="90" t="s">
        <v>53</v>
      </c>
      <c r="H3" s="23" t="s">
        <v>24</v>
      </c>
      <c r="I3" s="3" t="s">
        <v>37</v>
      </c>
      <c r="J3" s="90" t="s">
        <v>52</v>
      </c>
      <c r="K3" s="23" t="s">
        <v>24</v>
      </c>
      <c r="L3" s="3" t="s">
        <v>37</v>
      </c>
      <c r="M3" s="90" t="s">
        <v>51</v>
      </c>
      <c r="N3" s="23" t="s">
        <v>24</v>
      </c>
      <c r="O3" s="3" t="s">
        <v>37</v>
      </c>
      <c r="P3" s="90" t="s">
        <v>50</v>
      </c>
      <c r="Q3" s="23" t="s">
        <v>24</v>
      </c>
      <c r="R3" s="3" t="s">
        <v>37</v>
      </c>
      <c r="S3" s="90" t="s">
        <v>49</v>
      </c>
      <c r="T3" s="23" t="s">
        <v>24</v>
      </c>
      <c r="U3" s="3" t="s">
        <v>37</v>
      </c>
      <c r="V3" s="90" t="s">
        <v>48</v>
      </c>
      <c r="W3" s="73" t="s">
        <v>24</v>
      </c>
      <c r="X3" s="3" t="s">
        <v>37</v>
      </c>
      <c r="Y3" s="90" t="s">
        <v>47</v>
      </c>
      <c r="Z3" s="73" t="s">
        <v>24</v>
      </c>
      <c r="AA3" s="3" t="s">
        <v>37</v>
      </c>
      <c r="AB3" s="4" t="s">
        <v>46</v>
      </c>
      <c r="AC3" s="73" t="s">
        <v>24</v>
      </c>
      <c r="AD3" s="3" t="s">
        <v>37</v>
      </c>
      <c r="AE3" s="4" t="s">
        <v>45</v>
      </c>
      <c r="AF3" s="73" t="s">
        <v>24</v>
      </c>
      <c r="AG3" s="3" t="s">
        <v>37</v>
      </c>
      <c r="AH3" s="4" t="s">
        <v>44</v>
      </c>
      <c r="AI3" s="73" t="s">
        <v>24</v>
      </c>
      <c r="AJ3" s="3" t="s">
        <v>37</v>
      </c>
      <c r="AK3" s="4" t="s">
        <v>43</v>
      </c>
      <c r="AL3" s="73" t="s">
        <v>24</v>
      </c>
      <c r="AM3" s="3" t="s">
        <v>37</v>
      </c>
      <c r="AN3" s="50"/>
      <c r="AO3" s="50"/>
      <c r="AP3" s="4" t="s">
        <v>11</v>
      </c>
      <c r="AQ3" s="23" t="s">
        <v>24</v>
      </c>
      <c r="AR3" s="3" t="s">
        <v>37</v>
      </c>
      <c r="AS3" s="42" t="s">
        <v>31</v>
      </c>
      <c r="AT3" s="23" t="s">
        <v>24</v>
      </c>
      <c r="AU3" s="3" t="s">
        <v>37</v>
      </c>
    </row>
    <row r="4" spans="2:47">
      <c r="B4" s="43">
        <v>9402</v>
      </c>
      <c r="C4" s="50"/>
      <c r="D4" s="42"/>
      <c r="E4" s="3" t="s">
        <v>26</v>
      </c>
      <c r="F4" s="3">
        <v>10</v>
      </c>
      <c r="G4" s="42"/>
      <c r="H4" s="3" t="s">
        <v>26</v>
      </c>
      <c r="I4" s="3">
        <v>10</v>
      </c>
      <c r="J4" s="42"/>
      <c r="K4" s="3" t="s">
        <v>26</v>
      </c>
      <c r="L4" s="3">
        <v>10</v>
      </c>
      <c r="M4" s="42"/>
      <c r="N4" s="3" t="s">
        <v>26</v>
      </c>
      <c r="O4" s="3">
        <v>10</v>
      </c>
      <c r="P4" s="42"/>
      <c r="Q4" s="3" t="s">
        <v>26</v>
      </c>
      <c r="R4" s="3">
        <v>10</v>
      </c>
      <c r="S4" s="42"/>
      <c r="T4" s="3" t="s">
        <v>26</v>
      </c>
      <c r="U4" s="3">
        <v>10</v>
      </c>
      <c r="V4" s="91"/>
      <c r="W4" s="34" t="s">
        <v>26</v>
      </c>
      <c r="X4" s="3">
        <v>10</v>
      </c>
      <c r="Y4" s="91"/>
      <c r="Z4" s="34" t="s">
        <v>26</v>
      </c>
      <c r="AA4" s="3">
        <v>10</v>
      </c>
      <c r="AB4" s="50"/>
      <c r="AC4" s="34" t="s">
        <v>26</v>
      </c>
      <c r="AD4" s="3">
        <v>0</v>
      </c>
      <c r="AE4" s="50"/>
      <c r="AF4" s="34" t="s">
        <v>26</v>
      </c>
      <c r="AG4" s="3">
        <v>0</v>
      </c>
      <c r="AH4" s="50"/>
      <c r="AI4" s="34" t="s">
        <v>26</v>
      </c>
      <c r="AJ4" s="3">
        <v>0</v>
      </c>
      <c r="AK4" s="50"/>
      <c r="AL4" s="34" t="s">
        <v>26</v>
      </c>
      <c r="AM4" s="3">
        <v>0</v>
      </c>
      <c r="AN4" s="50"/>
      <c r="AO4" s="50"/>
      <c r="AP4" s="50"/>
      <c r="AQ4" s="3" t="s">
        <v>26</v>
      </c>
      <c r="AR4" s="3">
        <f>+(+AD4+AG4+AJ4+AM4+AA4+X4+U4+R4+O4+L4+I4+F4)/AS4</f>
        <v>10</v>
      </c>
      <c r="AS4" s="42">
        <v>8</v>
      </c>
      <c r="AT4" s="3" t="s">
        <v>26</v>
      </c>
      <c r="AU4" s="3">
        <f>+AR4</f>
        <v>10</v>
      </c>
    </row>
    <row r="5" spans="2:47">
      <c r="B5" s="10" t="s">
        <v>3</v>
      </c>
      <c r="C5" s="16"/>
      <c r="D5" s="9">
        <v>1331.538</v>
      </c>
      <c r="E5" s="54">
        <f>+D5/D5</f>
        <v>1</v>
      </c>
      <c r="F5" s="85">
        <f>+D5/F4</f>
        <v>133.15379999999999</v>
      </c>
      <c r="G5" s="9">
        <v>1221.0899999999999</v>
      </c>
      <c r="H5" s="54">
        <f>+G5/G5</f>
        <v>1</v>
      </c>
      <c r="I5" s="85">
        <f>+G5/I4</f>
        <v>122.10899999999999</v>
      </c>
      <c r="J5" s="9">
        <v>1475.06</v>
      </c>
      <c r="K5" s="54">
        <f>+J5/J5</f>
        <v>1</v>
      </c>
      <c r="L5" s="85">
        <f>+J5/L4</f>
        <v>147.506</v>
      </c>
      <c r="M5" s="9">
        <v>1385.76</v>
      </c>
      <c r="N5" s="54">
        <f>+M5/M5</f>
        <v>1</v>
      </c>
      <c r="O5" s="85">
        <f>+M5/O4</f>
        <v>138.57599999999999</v>
      </c>
      <c r="P5" s="9">
        <f>43.445+1294.594</f>
        <v>1338.039</v>
      </c>
      <c r="Q5" s="54">
        <f>+P5/P5</f>
        <v>1</v>
      </c>
      <c r="R5" s="85">
        <f>+P5/R4</f>
        <v>133.8039</v>
      </c>
      <c r="S5" s="9">
        <f>4.633+1369</f>
        <v>1373.633</v>
      </c>
      <c r="T5" s="54">
        <f>+S5/S5</f>
        <v>1</v>
      </c>
      <c r="U5" s="85">
        <f>+S5/U4</f>
        <v>137.36330000000001</v>
      </c>
      <c r="V5" s="9">
        <v>1297.9079999999999</v>
      </c>
      <c r="W5" s="54">
        <f>+V5/V5</f>
        <v>1</v>
      </c>
      <c r="X5" s="85">
        <f>+V5/X4</f>
        <v>129.79079999999999</v>
      </c>
      <c r="Y5" s="9">
        <v>1264.104</v>
      </c>
      <c r="Z5" s="54">
        <f>+Y5/Y5</f>
        <v>1</v>
      </c>
      <c r="AA5" s="85">
        <f>+Y5/AA4</f>
        <v>126.41040000000001</v>
      </c>
      <c r="AB5" s="9">
        <v>0</v>
      </c>
      <c r="AC5" s="54" t="e">
        <f>+AB5/AB5</f>
        <v>#DIV/0!</v>
      </c>
      <c r="AD5" s="85" t="e">
        <f>+AB5/AD4</f>
        <v>#DIV/0!</v>
      </c>
      <c r="AE5" s="9">
        <v>0</v>
      </c>
      <c r="AF5" s="54" t="e">
        <f>+AE5/$AE$5</f>
        <v>#DIV/0!</v>
      </c>
      <c r="AG5" s="85" t="e">
        <f>+AE5/AG4</f>
        <v>#DIV/0!</v>
      </c>
      <c r="AH5" s="9">
        <v>0</v>
      </c>
      <c r="AI5" s="54" t="e">
        <f>+AH5/$AH$5</f>
        <v>#DIV/0!</v>
      </c>
      <c r="AJ5" s="85" t="e">
        <f>+AH5/AJ4</f>
        <v>#DIV/0!</v>
      </c>
      <c r="AK5" s="9">
        <v>0</v>
      </c>
      <c r="AL5" s="54" t="e">
        <f>+AK5/$AK$5</f>
        <v>#DIV/0!</v>
      </c>
      <c r="AM5" s="85" t="e">
        <f>+AK5/AM4</f>
        <v>#DIV/0!</v>
      </c>
      <c r="AN5" s="16"/>
      <c r="AO5" s="16"/>
      <c r="AP5" s="30">
        <f>+S5+AB5+AE5+AH5+AK5+Y5+P5+M5+J5+G5+D5+V5</f>
        <v>10687.132</v>
      </c>
      <c r="AQ5" s="64">
        <f>+AP5/$AP$5</f>
        <v>1</v>
      </c>
      <c r="AR5" s="85">
        <f>+AP5/AR4</f>
        <v>1068.7131999999999</v>
      </c>
      <c r="AS5" s="30">
        <f>+AP5/$AS$4</f>
        <v>1335.8915</v>
      </c>
      <c r="AT5" s="57"/>
      <c r="AU5" s="85">
        <f>+AS5/AU4</f>
        <v>133.58914999999999</v>
      </c>
    </row>
    <row r="6" spans="2:47">
      <c r="B6" s="7" t="s">
        <v>4</v>
      </c>
      <c r="C6" s="16"/>
      <c r="D6" s="11">
        <f>5.74+30.9237+30.487+5.699</f>
        <v>72.849699999999999</v>
      </c>
      <c r="E6" s="55">
        <f>+D6/D5</f>
        <v>5.4710943285133429E-2</v>
      </c>
      <c r="F6" s="86">
        <f>+D6/F4</f>
        <v>7.2849699999999995</v>
      </c>
      <c r="G6" s="11">
        <f>3.7773+23.158+9.87189+53.028</f>
        <v>89.835190000000011</v>
      </c>
      <c r="H6" s="55">
        <f>+G6/G5</f>
        <v>7.3569671359195482E-2</v>
      </c>
      <c r="I6" s="86">
        <f>+G6/I4</f>
        <v>8.9835190000000011</v>
      </c>
      <c r="J6" s="11">
        <f>4.5329+28.655+1.453+89.873</f>
        <v>124.51390000000001</v>
      </c>
      <c r="K6" s="55">
        <f>+J6/J5</f>
        <v>8.4412769650048139E-2</v>
      </c>
      <c r="L6" s="86">
        <f>+J6/L4</f>
        <v>12.45139</v>
      </c>
      <c r="M6" s="11">
        <f>4.17+26.1011+12.08+89.244</f>
        <v>131.5951</v>
      </c>
      <c r="N6" s="55">
        <f>+M6/M5</f>
        <v>9.4962403302159104E-2</v>
      </c>
      <c r="O6" s="86">
        <f>+M6/O4</f>
        <v>13.159510000000001</v>
      </c>
      <c r="P6" s="11">
        <f>4.2759+0.95096+26.0784+14.291</f>
        <v>45.596260000000001</v>
      </c>
      <c r="Q6" s="55">
        <f>+P6/P5</f>
        <v>3.4076928998332638E-2</v>
      </c>
      <c r="R6" s="86">
        <f>+P6/R4</f>
        <v>4.5596259999999997</v>
      </c>
      <c r="S6" s="11">
        <f>7.1262+26.8737+0.62509+35.267</f>
        <v>69.891989999999993</v>
      </c>
      <c r="T6" s="55">
        <f>+S6/S5</f>
        <v>5.0881123269461342E-2</v>
      </c>
      <c r="U6" s="86">
        <f>+S6/U4</f>
        <v>6.9891989999999993</v>
      </c>
      <c r="V6" s="11">
        <f>2.6366+26.0358+17.4204+49.691</f>
        <v>95.783799999999999</v>
      </c>
      <c r="W6" s="55">
        <f>+V6/V5</f>
        <v>7.3798605139963697E-2</v>
      </c>
      <c r="X6" s="86">
        <f>+V6/X4</f>
        <v>9.5783799999999992</v>
      </c>
      <c r="Y6" s="11">
        <f>5.1591+23.2682+4.15+90.936</f>
        <v>123.51330000000002</v>
      </c>
      <c r="Z6" s="55">
        <f>+Y6/Y5</f>
        <v>9.7708179073873677E-2</v>
      </c>
      <c r="AA6" s="86">
        <f>+Y6/AA4</f>
        <v>12.351330000000001</v>
      </c>
      <c r="AB6" s="11">
        <v>0</v>
      </c>
      <c r="AC6" s="55" t="e">
        <f>+AB6/AB5</f>
        <v>#DIV/0!</v>
      </c>
      <c r="AD6" s="86" t="e">
        <f>+AB6/AD4</f>
        <v>#DIV/0!</v>
      </c>
      <c r="AE6" s="11">
        <v>0</v>
      </c>
      <c r="AF6" s="55" t="e">
        <f>+AE6/$AE$5</f>
        <v>#DIV/0!</v>
      </c>
      <c r="AG6" s="86" t="e">
        <f>+AE6/AG4</f>
        <v>#DIV/0!</v>
      </c>
      <c r="AH6" s="11">
        <v>0</v>
      </c>
      <c r="AI6" s="55" t="e">
        <f>+AH6/$AH$5</f>
        <v>#DIV/0!</v>
      </c>
      <c r="AJ6" s="86" t="e">
        <f>+AH6/AJ4</f>
        <v>#DIV/0!</v>
      </c>
      <c r="AK6" s="11">
        <v>0</v>
      </c>
      <c r="AL6" s="55" t="e">
        <f>+AK6/$AK$5</f>
        <v>#DIV/0!</v>
      </c>
      <c r="AM6" s="86" t="e">
        <f>+AK6/AM4</f>
        <v>#DIV/0!</v>
      </c>
      <c r="AN6" s="16"/>
      <c r="AO6" s="16"/>
      <c r="AP6" s="92">
        <f>+S6+AB6+AE6+AH6+AK6+Y6+P6+M6+J6+G6+D6+V6</f>
        <v>753.57924000000003</v>
      </c>
      <c r="AQ6" s="65">
        <f>+AP6/$AP$5</f>
        <v>7.0512766193961116E-2</v>
      </c>
      <c r="AR6" s="86">
        <f>+AP6/AR4</f>
        <v>75.357923999999997</v>
      </c>
      <c r="AS6" s="14">
        <f t="shared" ref="AS6:AS9" si="0">+AP6/$AS$4</f>
        <v>94.197405000000003</v>
      </c>
      <c r="AT6" s="57"/>
      <c r="AU6" s="86">
        <f>+AS6/AU4</f>
        <v>9.4197404999999996</v>
      </c>
    </row>
    <row r="7" spans="2:47">
      <c r="B7" s="10" t="s">
        <v>7</v>
      </c>
      <c r="C7" s="16"/>
      <c r="D7" s="8">
        <f>+D5-D6</f>
        <v>1258.6883</v>
      </c>
      <c r="E7" s="56">
        <f>+D7/D5</f>
        <v>0.94528905671486663</v>
      </c>
      <c r="F7" s="87">
        <f>+F5-F6</f>
        <v>125.86882999999999</v>
      </c>
      <c r="G7" s="8">
        <f>+G5-G6</f>
        <v>1131.2548099999999</v>
      </c>
      <c r="H7" s="56">
        <f>+G7/G5</f>
        <v>0.92643032864080455</v>
      </c>
      <c r="I7" s="87">
        <f>+I5-I6</f>
        <v>113.12548099999999</v>
      </c>
      <c r="J7" s="8">
        <f>+J5-J6</f>
        <v>1350.5461</v>
      </c>
      <c r="K7" s="56">
        <f>+J7/J5</f>
        <v>0.91558723034995193</v>
      </c>
      <c r="L7" s="87">
        <f>+L5-L6</f>
        <v>135.05461</v>
      </c>
      <c r="M7" s="8">
        <f>+M5-M6</f>
        <v>1254.1649</v>
      </c>
      <c r="N7" s="56">
        <f>+M7/M5</f>
        <v>0.9050375966978409</v>
      </c>
      <c r="O7" s="87">
        <f>+O5-O6</f>
        <v>125.41649</v>
      </c>
      <c r="P7" s="8">
        <f>+P5-P6</f>
        <v>1292.44274</v>
      </c>
      <c r="Q7" s="56">
        <f>+P7/P5</f>
        <v>0.9659230710016673</v>
      </c>
      <c r="R7" s="87">
        <f>+R5-R6</f>
        <v>129.24427399999999</v>
      </c>
      <c r="S7" s="8">
        <f>+S5-S6</f>
        <v>1303.74101</v>
      </c>
      <c r="T7" s="56">
        <f>+S7/S5</f>
        <v>0.94911887673053863</v>
      </c>
      <c r="U7" s="87">
        <f>+U5-U6</f>
        <v>130.374101</v>
      </c>
      <c r="V7" s="8">
        <f>+V5-V6</f>
        <v>1202.1242</v>
      </c>
      <c r="W7" s="56">
        <f>+V7/V5</f>
        <v>0.92620139486003639</v>
      </c>
      <c r="X7" s="87">
        <f>+X5-X6</f>
        <v>120.21241999999999</v>
      </c>
      <c r="Y7" s="8">
        <f>+Y5-Y6</f>
        <v>1140.5907</v>
      </c>
      <c r="Z7" s="56">
        <f>+Y7/Y5</f>
        <v>0.90229182092612625</v>
      </c>
      <c r="AA7" s="87">
        <f>+AA5-AA6</f>
        <v>114.05907000000001</v>
      </c>
      <c r="AB7" s="8">
        <f>+AB5-AB6</f>
        <v>0</v>
      </c>
      <c r="AC7" s="56" t="e">
        <f>+AB7/AB5</f>
        <v>#DIV/0!</v>
      </c>
      <c r="AD7" s="87" t="e">
        <f>+AD5-AD6</f>
        <v>#DIV/0!</v>
      </c>
      <c r="AE7" s="8">
        <f>+AE5-AE6</f>
        <v>0</v>
      </c>
      <c r="AF7" s="56" t="e">
        <f>+AE7/$AE$5</f>
        <v>#DIV/0!</v>
      </c>
      <c r="AG7" s="87" t="e">
        <f>+AG5-AG6</f>
        <v>#DIV/0!</v>
      </c>
      <c r="AH7" s="8">
        <f>+AH5-AH6</f>
        <v>0</v>
      </c>
      <c r="AI7" s="56" t="e">
        <f>+AH7/$AH$5</f>
        <v>#DIV/0!</v>
      </c>
      <c r="AJ7" s="87" t="e">
        <f>+AJ5-AJ6</f>
        <v>#DIV/0!</v>
      </c>
      <c r="AK7" s="8">
        <f>+AK5-AK6</f>
        <v>0</v>
      </c>
      <c r="AL7" s="56" t="e">
        <f>+AK7/$AK$5</f>
        <v>#DIV/0!</v>
      </c>
      <c r="AM7" s="87" t="e">
        <f>+AM5-AM6</f>
        <v>#DIV/0!</v>
      </c>
      <c r="AN7" s="16"/>
      <c r="AO7" s="16"/>
      <c r="AP7" s="30">
        <f>+S7+AB7+AE7+AH7+AK7+Y7+P7+M7+J7+G7+D7+V7</f>
        <v>9933.5527600000005</v>
      </c>
      <c r="AQ7" s="65">
        <f>+AP7/$AP$5</f>
        <v>0.92948723380603893</v>
      </c>
      <c r="AR7" s="87">
        <f>+AR5-AR6</f>
        <v>993.35527599999989</v>
      </c>
      <c r="AS7" s="13">
        <f t="shared" si="0"/>
        <v>1241.6940950000001</v>
      </c>
      <c r="AT7" s="57"/>
      <c r="AU7" s="87">
        <f>+AU5-AU6</f>
        <v>124.16940949999999</v>
      </c>
    </row>
    <row r="8" spans="2:47">
      <c r="B8" s="7" t="s">
        <v>5</v>
      </c>
      <c r="C8" s="16"/>
      <c r="D8" s="11">
        <v>1218.44</v>
      </c>
      <c r="E8" s="55">
        <f>+D8/D5</f>
        <v>0.91506213115960644</v>
      </c>
      <c r="F8" s="86">
        <f>+D8/F4</f>
        <v>121.84400000000001</v>
      </c>
      <c r="G8" s="11">
        <v>1131.499</v>
      </c>
      <c r="H8" s="55">
        <f>+G8/G5</f>
        <v>0.92663030571047189</v>
      </c>
      <c r="I8" s="86">
        <f>+G8/I4</f>
        <v>113.1499</v>
      </c>
      <c r="J8" s="11">
        <v>1154.6300000000001</v>
      </c>
      <c r="K8" s="55">
        <f>+J8/J5</f>
        <v>0.78276815858337978</v>
      </c>
      <c r="L8" s="86">
        <f>+J8/L4</f>
        <v>115.46300000000001</v>
      </c>
      <c r="M8" s="11">
        <v>1231.607</v>
      </c>
      <c r="N8" s="55">
        <f>+M8/M5</f>
        <v>0.88875923680868263</v>
      </c>
      <c r="O8" s="86">
        <f>+M8/O4</f>
        <v>123.16069999999999</v>
      </c>
      <c r="P8" s="11">
        <f>1253.658+109.16612-4.2759-26.0784-0.95-14.291</f>
        <v>1317.2288199999998</v>
      </c>
      <c r="Q8" s="55">
        <f>+P8/P5</f>
        <v>0.98444725452696058</v>
      </c>
      <c r="R8" s="86">
        <f>+P8/R4</f>
        <v>131.72288199999997</v>
      </c>
      <c r="S8" s="11">
        <v>1434.491</v>
      </c>
      <c r="T8" s="55">
        <f>+S8/S5</f>
        <v>1.0443044102755248</v>
      </c>
      <c r="U8" s="86">
        <f>+S8/U4</f>
        <v>143.44909999999999</v>
      </c>
      <c r="V8" s="11">
        <v>1132.1990000000001</v>
      </c>
      <c r="W8" s="55">
        <f>+V8/V5</f>
        <v>0.87232608166372361</v>
      </c>
      <c r="X8" s="86">
        <f>+V8/X4</f>
        <v>113.21990000000001</v>
      </c>
      <c r="Y8" s="11">
        <v>1163.1300000000001</v>
      </c>
      <c r="Z8" s="55">
        <f>+Y8/Y5</f>
        <v>0.9201220785631562</v>
      </c>
      <c r="AA8" s="86">
        <f>+Y8/AA4</f>
        <v>116.31300000000002</v>
      </c>
      <c r="AB8" s="11">
        <v>0</v>
      </c>
      <c r="AC8" s="55" t="e">
        <f>+AB8/AB5</f>
        <v>#DIV/0!</v>
      </c>
      <c r="AD8" s="86" t="e">
        <f>+AB8/AD4</f>
        <v>#DIV/0!</v>
      </c>
      <c r="AE8" s="11">
        <v>0</v>
      </c>
      <c r="AF8" s="55" t="e">
        <f>+AE8/$AE$5</f>
        <v>#DIV/0!</v>
      </c>
      <c r="AG8" s="86" t="e">
        <f>+AE8/AG4</f>
        <v>#DIV/0!</v>
      </c>
      <c r="AH8" s="11">
        <v>0</v>
      </c>
      <c r="AI8" s="55" t="e">
        <f>+AH8/$AH$5</f>
        <v>#DIV/0!</v>
      </c>
      <c r="AJ8" s="86" t="e">
        <f>+AH8/AJ4</f>
        <v>#DIV/0!</v>
      </c>
      <c r="AK8" s="11">
        <v>0</v>
      </c>
      <c r="AL8" s="55" t="e">
        <f>+AK8/$AK$5</f>
        <v>#DIV/0!</v>
      </c>
      <c r="AM8" s="86" t="e">
        <f>+AK8/AM4</f>
        <v>#DIV/0!</v>
      </c>
      <c r="AN8" s="16"/>
      <c r="AO8" s="16"/>
      <c r="AP8" s="92">
        <f>+S8+AB8+AE8+AH8+AK8+Y8+P8+M8+J8+G8+D8+V8</f>
        <v>9783.2248199999995</v>
      </c>
      <c r="AQ8" s="65">
        <f>+AP8/$AP$5</f>
        <v>0.91542097730242311</v>
      </c>
      <c r="AR8" s="86">
        <f>+AP8/AR4</f>
        <v>978.32248199999992</v>
      </c>
      <c r="AS8" s="14">
        <f t="shared" si="0"/>
        <v>1222.9031024999999</v>
      </c>
      <c r="AT8" s="57"/>
      <c r="AU8" s="86">
        <f>+AS8/AU4</f>
        <v>122.29031024999999</v>
      </c>
    </row>
    <row r="9" spans="2:47">
      <c r="B9" s="18" t="s">
        <v>13</v>
      </c>
      <c r="C9" s="16"/>
      <c r="D9" s="15">
        <f>+D5-D6-D8</f>
        <v>40.248299999999972</v>
      </c>
      <c r="E9" s="54">
        <f>+D9/D5</f>
        <v>3.0226925555260138E-2</v>
      </c>
      <c r="F9" s="15">
        <f>+F5-F6-F8</f>
        <v>4.0248299999999801</v>
      </c>
      <c r="G9" s="15">
        <f>+G5-G6-G8</f>
        <v>-0.24419000000011692</v>
      </c>
      <c r="H9" s="54">
        <f>+G9/G5</f>
        <v>-1.9997706966736026E-4</v>
      </c>
      <c r="I9" s="15">
        <f>+I5-I6-I8</f>
        <v>-2.441900000000885E-2</v>
      </c>
      <c r="J9" s="15">
        <f>+J5-J6-J8</f>
        <v>195.91609999999991</v>
      </c>
      <c r="K9" s="54">
        <f>+J9/J5</f>
        <v>0.13281907176657215</v>
      </c>
      <c r="L9" s="15">
        <f>+L5-L6-L8</f>
        <v>19.591609999999989</v>
      </c>
      <c r="M9" s="15">
        <f>+M5-M6-M8</f>
        <v>22.557900000000018</v>
      </c>
      <c r="N9" s="54">
        <f>+M9/M5</f>
        <v>1.6278359889158309E-2</v>
      </c>
      <c r="O9" s="15">
        <f>+O5-O6-O8</f>
        <v>2.2557900000000046</v>
      </c>
      <c r="P9" s="15">
        <f>+P5-P6-P8</f>
        <v>-24.786079999999856</v>
      </c>
      <c r="Q9" s="54">
        <f>+P9/P5</f>
        <v>-1.8524183525293249E-2</v>
      </c>
      <c r="R9" s="15">
        <f>+R5-R6-R8</f>
        <v>-2.4786079999999799</v>
      </c>
      <c r="S9" s="15">
        <f>+S5-S6-S8</f>
        <v>-130.74999000000003</v>
      </c>
      <c r="T9" s="54">
        <f>+S9/S5</f>
        <v>-9.5185533544986198E-2</v>
      </c>
      <c r="U9" s="15">
        <f>+U5-U6-U8</f>
        <v>-13.074998999999991</v>
      </c>
      <c r="V9" s="15">
        <f>+V5-V6-V8</f>
        <v>69.925199999999904</v>
      </c>
      <c r="W9" s="54">
        <f>+V9/V5</f>
        <v>5.3875313196312766E-2</v>
      </c>
      <c r="X9" s="15">
        <f>+X5-X6-X8</f>
        <v>6.9925199999999847</v>
      </c>
      <c r="Y9" s="15">
        <f>+Y5-Y6-Y8</f>
        <v>-22.539300000000139</v>
      </c>
      <c r="Z9" s="54">
        <f>+Y9/Y5</f>
        <v>-1.7830257637029973E-2</v>
      </c>
      <c r="AA9" s="15">
        <f>+AA5-AA6-AA8</f>
        <v>-2.2539300000000111</v>
      </c>
      <c r="AB9" s="15">
        <f>+AB5-AB6-AB8</f>
        <v>0</v>
      </c>
      <c r="AC9" s="54" t="e">
        <f>+AB9/AB5</f>
        <v>#DIV/0!</v>
      </c>
      <c r="AD9" s="15" t="e">
        <f>+AD5-AD6-AD8</f>
        <v>#DIV/0!</v>
      </c>
      <c r="AE9" s="15">
        <f>+AE5-AE6-AE8</f>
        <v>0</v>
      </c>
      <c r="AF9" s="54" t="e">
        <f>+AE9/$AE$5</f>
        <v>#DIV/0!</v>
      </c>
      <c r="AG9" s="15" t="e">
        <f>+AG5-AG6-AG8</f>
        <v>#DIV/0!</v>
      </c>
      <c r="AH9" s="15">
        <f>+AH5-AH6-AH8</f>
        <v>0</v>
      </c>
      <c r="AI9" s="54" t="e">
        <f>+AH9/$AH$5</f>
        <v>#DIV/0!</v>
      </c>
      <c r="AJ9" s="15" t="e">
        <f>+AJ5-AJ6-AJ8</f>
        <v>#DIV/0!</v>
      </c>
      <c r="AK9" s="15">
        <f>+AK5-AK6-AK8</f>
        <v>0</v>
      </c>
      <c r="AL9" s="54" t="e">
        <f>+AK9/$AK$5</f>
        <v>#DIV/0!</v>
      </c>
      <c r="AM9" s="15" t="e">
        <f>+AM5-AM6-AM8</f>
        <v>#DIV/0!</v>
      </c>
      <c r="AN9" s="16"/>
      <c r="AO9" s="16"/>
      <c r="AP9" s="93">
        <f>+S9+AB9+AE9+AH9+AK9+Y9+P9+M9+J9+G9+D9+V9</f>
        <v>150.32793999999967</v>
      </c>
      <c r="AQ9" s="64">
        <f>+AP9/$AP$5</f>
        <v>1.406625650361572E-2</v>
      </c>
      <c r="AR9" s="15">
        <f>+AR5-AR6-AR8</f>
        <v>15.032793999999967</v>
      </c>
      <c r="AS9" s="29">
        <f t="shared" si="0"/>
        <v>18.790992499999959</v>
      </c>
      <c r="AT9" s="57"/>
      <c r="AU9" s="15">
        <f>+AU5-AU6-AU8</f>
        <v>1.8790992499999959</v>
      </c>
    </row>
    <row r="10" spans="2:47" ht="7.5" customHeight="1">
      <c r="B10" s="16"/>
      <c r="C10" s="16"/>
      <c r="D10" s="32"/>
      <c r="E10" s="57"/>
      <c r="F10" s="57"/>
      <c r="G10" s="32"/>
      <c r="H10" s="57"/>
      <c r="I10" s="57"/>
      <c r="J10" s="32"/>
      <c r="K10" s="57"/>
      <c r="L10" s="57"/>
      <c r="M10" s="32"/>
      <c r="N10" s="57"/>
      <c r="O10" s="57"/>
      <c r="P10" s="32"/>
      <c r="Q10" s="57"/>
      <c r="R10" s="57"/>
      <c r="S10" s="32"/>
      <c r="T10" s="57"/>
      <c r="U10" s="57"/>
      <c r="V10" s="32"/>
      <c r="W10" s="57"/>
      <c r="X10" s="57"/>
      <c r="Y10" s="32"/>
      <c r="Z10" s="57"/>
      <c r="AA10" s="57"/>
      <c r="AB10" s="32"/>
      <c r="AC10" s="57"/>
      <c r="AD10" s="57"/>
      <c r="AE10" s="32"/>
      <c r="AF10" s="57"/>
      <c r="AG10" s="57"/>
      <c r="AH10" s="32"/>
      <c r="AI10" s="57"/>
      <c r="AJ10" s="57"/>
      <c r="AK10" s="32"/>
      <c r="AL10" s="16"/>
      <c r="AM10" s="16"/>
      <c r="AN10" s="16"/>
      <c r="AO10" s="16"/>
      <c r="AP10" s="16"/>
      <c r="AQ10" s="66"/>
      <c r="AR10" s="57"/>
      <c r="AS10" s="16"/>
      <c r="AT10" s="57"/>
      <c r="AU10" s="57"/>
    </row>
    <row r="11" spans="2:47">
      <c r="B11" s="17" t="s">
        <v>17</v>
      </c>
      <c r="C11" s="16"/>
      <c r="D11" s="32">
        <v>28</v>
      </c>
      <c r="E11" s="57"/>
      <c r="F11" s="86">
        <f>+D11/F4</f>
        <v>2.8</v>
      </c>
      <c r="G11" s="32">
        <v>28</v>
      </c>
      <c r="H11" s="57"/>
      <c r="I11" s="86">
        <f>+G11/I4</f>
        <v>2.8</v>
      </c>
      <c r="J11" s="32">
        <v>28</v>
      </c>
      <c r="K11" s="57"/>
      <c r="L11" s="86">
        <f>+J11/L4</f>
        <v>2.8</v>
      </c>
      <c r="M11" s="32">
        <v>28</v>
      </c>
      <c r="N11" s="57"/>
      <c r="O11" s="86">
        <f>+M11/O4</f>
        <v>2.8</v>
      </c>
      <c r="P11" s="32">
        <v>28</v>
      </c>
      <c r="Q11" s="57"/>
      <c r="R11" s="86">
        <f>+P11/R4</f>
        <v>2.8</v>
      </c>
      <c r="S11" s="32">
        <v>28</v>
      </c>
      <c r="T11" s="57"/>
      <c r="U11" s="86">
        <f>+S11/U4</f>
        <v>2.8</v>
      </c>
      <c r="V11" s="32">
        <v>27</v>
      </c>
      <c r="W11" s="57"/>
      <c r="X11" s="86">
        <f>+V11/X4</f>
        <v>2.7</v>
      </c>
      <c r="Y11" s="32">
        <v>27</v>
      </c>
      <c r="Z11" s="57"/>
      <c r="AA11" s="86">
        <f>+Y11/AA4</f>
        <v>2.7</v>
      </c>
      <c r="AB11" s="32">
        <v>0</v>
      </c>
      <c r="AC11" s="57"/>
      <c r="AD11" s="86" t="e">
        <f>+AB11/AD4</f>
        <v>#DIV/0!</v>
      </c>
      <c r="AE11" s="32">
        <v>0</v>
      </c>
      <c r="AF11" s="57"/>
      <c r="AG11" s="86" t="e">
        <f>+AE11/AG4</f>
        <v>#DIV/0!</v>
      </c>
      <c r="AH11" s="32">
        <v>0</v>
      </c>
      <c r="AI11" s="57"/>
      <c r="AJ11" s="86" t="e">
        <f>+AH11/AJ4</f>
        <v>#DIV/0!</v>
      </c>
      <c r="AK11" s="32">
        <v>0</v>
      </c>
      <c r="AL11" s="16"/>
      <c r="AM11" s="86" t="e">
        <f>+AK11/AM4</f>
        <v>#DIV/0!</v>
      </c>
      <c r="AN11" s="16"/>
      <c r="AO11" s="16"/>
      <c r="AP11" s="14">
        <f>(AB11+AE11+AH11+AK11+Y11+V11+S11+P11+M11+J11+G11+D11)</f>
        <v>222</v>
      </c>
      <c r="AQ11" s="57"/>
      <c r="AR11" s="86">
        <f>+AP11/AR4</f>
        <v>22.2</v>
      </c>
      <c r="AS11" s="28">
        <f>+AP11/AS4</f>
        <v>27.75</v>
      </c>
      <c r="AT11" s="57"/>
      <c r="AU11" s="86">
        <f>+AS11/AU4</f>
        <v>2.7749999999999999</v>
      </c>
    </row>
    <row r="12" spans="2:47">
      <c r="B12" s="17" t="s">
        <v>14</v>
      </c>
      <c r="C12" s="16"/>
      <c r="D12" s="32">
        <v>915.19299999999998</v>
      </c>
      <c r="E12" s="57"/>
      <c r="F12" s="86">
        <f>+D12/F4</f>
        <v>91.519300000000001</v>
      </c>
      <c r="G12" s="32">
        <v>880.55399999999997</v>
      </c>
      <c r="H12" s="57"/>
      <c r="I12" s="86">
        <f>+G12/I4</f>
        <v>88.055399999999992</v>
      </c>
      <c r="J12" s="32">
        <v>918.60199999999998</v>
      </c>
      <c r="K12" s="57"/>
      <c r="L12" s="86">
        <f>+J12/L4</f>
        <v>91.860199999999992</v>
      </c>
      <c r="M12" s="32">
        <v>949.47549000000004</v>
      </c>
      <c r="N12" s="57"/>
      <c r="O12" s="86">
        <f>+M12/O4</f>
        <v>94.947549000000009</v>
      </c>
      <c r="P12" s="32">
        <v>1050.375</v>
      </c>
      <c r="Q12" s="57"/>
      <c r="R12" s="86">
        <f>+P12/R4</f>
        <v>105.03749999999999</v>
      </c>
      <c r="S12" s="32">
        <v>1125.2011199999999</v>
      </c>
      <c r="T12" s="57"/>
      <c r="U12" s="86">
        <f>+S12/U4</f>
        <v>112.520112</v>
      </c>
      <c r="V12" s="32">
        <v>1295.1718800000001</v>
      </c>
      <c r="W12" s="57"/>
      <c r="X12" s="86">
        <f>+V12/X4</f>
        <v>129.517188</v>
      </c>
      <c r="Y12" s="32">
        <v>1000.277</v>
      </c>
      <c r="Z12" s="57"/>
      <c r="AA12" s="86">
        <f>+Y12/AA4</f>
        <v>100.02770000000001</v>
      </c>
      <c r="AB12" s="32">
        <v>0</v>
      </c>
      <c r="AC12" s="57"/>
      <c r="AD12" s="86" t="e">
        <f>+AB12/AD4</f>
        <v>#DIV/0!</v>
      </c>
      <c r="AE12" s="32">
        <v>0</v>
      </c>
      <c r="AF12" s="57"/>
      <c r="AG12" s="86" t="e">
        <f>+AE12/AG4</f>
        <v>#DIV/0!</v>
      </c>
      <c r="AH12" s="32">
        <v>0</v>
      </c>
      <c r="AI12" s="57"/>
      <c r="AJ12" s="86" t="e">
        <f>+AH12/AJ4</f>
        <v>#DIV/0!</v>
      </c>
      <c r="AK12" s="32">
        <v>0</v>
      </c>
      <c r="AL12" s="16"/>
      <c r="AM12" s="86" t="e">
        <f>+AK12/AM4</f>
        <v>#DIV/0!</v>
      </c>
      <c r="AN12" s="16"/>
      <c r="AO12" s="16"/>
      <c r="AP12" s="92">
        <f>+S12+AB12+AE12+AH12+AK12+Y12+P12+M12+J12+G12+D12+V12</f>
        <v>8134.8494899999996</v>
      </c>
      <c r="AQ12" s="57"/>
      <c r="AR12" s="86">
        <f>+AP12/AR4</f>
        <v>813.48494899999992</v>
      </c>
      <c r="AS12" s="14">
        <f t="shared" ref="AS12" si="1">+AP12/$AS$4</f>
        <v>1016.85618625</v>
      </c>
      <c r="AT12" s="57"/>
      <c r="AU12" s="86">
        <f>+AS12/AU4</f>
        <v>101.68561862499999</v>
      </c>
    </row>
    <row r="13" spans="2:47">
      <c r="B13" s="18" t="s">
        <v>19</v>
      </c>
      <c r="C13" s="16"/>
      <c r="D13" s="33">
        <f>+D12/D5</f>
        <v>0.68732022668523163</v>
      </c>
      <c r="E13" s="57"/>
      <c r="F13" s="33"/>
      <c r="G13" s="33">
        <f>+G12/G5</f>
        <v>0.72112129327076635</v>
      </c>
      <c r="H13" s="57"/>
      <c r="I13" s="33"/>
      <c r="J13" s="33">
        <f>+J12/J5</f>
        <v>0.62275568451452823</v>
      </c>
      <c r="K13" s="57"/>
      <c r="L13" s="33"/>
      <c r="M13" s="33">
        <f>+M12/M5</f>
        <v>0.6851658945271909</v>
      </c>
      <c r="N13" s="57"/>
      <c r="O13" s="33"/>
      <c r="P13" s="33">
        <f>+P12/P5</f>
        <v>0.78501075080771188</v>
      </c>
      <c r="Q13" s="57"/>
      <c r="R13" s="33"/>
      <c r="S13" s="33">
        <f>+S12/S5</f>
        <v>0.81914246381675448</v>
      </c>
      <c r="T13" s="57"/>
      <c r="U13" s="33"/>
      <c r="V13" s="33">
        <f>+V12/V5</f>
        <v>0.99789189988812776</v>
      </c>
      <c r="W13" s="57"/>
      <c r="X13" s="33"/>
      <c r="Y13" s="33">
        <f>+Y12/Y5</f>
        <v>0.79129327966686291</v>
      </c>
      <c r="Z13" s="57"/>
      <c r="AA13" s="33"/>
      <c r="AB13" s="33" t="e">
        <f>+AB12/AB5</f>
        <v>#DIV/0!</v>
      </c>
      <c r="AC13" s="57"/>
      <c r="AD13" s="33"/>
      <c r="AE13" s="33" t="e">
        <f>+AE12/AE5</f>
        <v>#DIV/0!</v>
      </c>
      <c r="AF13" s="57"/>
      <c r="AG13" s="33"/>
      <c r="AH13" s="33" t="e">
        <f>+AH12/AH5</f>
        <v>#DIV/0!</v>
      </c>
      <c r="AI13" s="57"/>
      <c r="AJ13" s="33"/>
      <c r="AK13" s="33" t="e">
        <f>+AK12/AK5</f>
        <v>#DIV/0!</v>
      </c>
      <c r="AL13" s="16"/>
      <c r="AM13" s="16"/>
      <c r="AN13" s="16"/>
      <c r="AO13" s="16"/>
      <c r="AP13" s="35">
        <f>+AP12/AP5</f>
        <v>0.7611817174149248</v>
      </c>
      <c r="AQ13" s="57"/>
      <c r="AR13" s="33"/>
      <c r="AS13" s="35">
        <f>+AS12/AS5</f>
        <v>0.7611817174149248</v>
      </c>
      <c r="AT13" s="57"/>
      <c r="AU13" s="33"/>
    </row>
    <row r="14" spans="2:47">
      <c r="B14" s="18" t="s">
        <v>15</v>
      </c>
      <c r="C14" s="16"/>
      <c r="D14" s="8">
        <f>+D5/D11</f>
        <v>47.554928571428569</v>
      </c>
      <c r="E14" s="57"/>
      <c r="F14" s="8"/>
      <c r="G14" s="8">
        <f>+G5/G11</f>
        <v>43.61035714285714</v>
      </c>
      <c r="H14" s="57"/>
      <c r="I14" s="8"/>
      <c r="J14" s="8">
        <f>+J5/J11</f>
        <v>52.680714285714281</v>
      </c>
      <c r="K14" s="57"/>
      <c r="L14" s="8"/>
      <c r="M14" s="8">
        <f>+M5/M11</f>
        <v>49.491428571428571</v>
      </c>
      <c r="N14" s="57"/>
      <c r="O14" s="8"/>
      <c r="P14" s="8">
        <f>+P5/P11</f>
        <v>47.787107142857145</v>
      </c>
      <c r="Q14" s="57"/>
      <c r="R14" s="8"/>
      <c r="S14" s="8">
        <f>+S5/S11</f>
        <v>49.058321428571432</v>
      </c>
      <c r="T14" s="57"/>
      <c r="U14" s="8"/>
      <c r="V14" s="8">
        <f>+V5/V11</f>
        <v>48.070666666666661</v>
      </c>
      <c r="W14" s="57"/>
      <c r="X14" s="8"/>
      <c r="Y14" s="8">
        <f>+Y5/Y11</f>
        <v>46.818666666666665</v>
      </c>
      <c r="Z14" s="57"/>
      <c r="AA14" s="8"/>
      <c r="AB14" s="8" t="e">
        <f>+AB5/AB11</f>
        <v>#DIV/0!</v>
      </c>
      <c r="AC14" s="57"/>
      <c r="AD14" s="8"/>
      <c r="AE14" s="8" t="e">
        <f>+AE5/AE11</f>
        <v>#DIV/0!</v>
      </c>
      <c r="AF14" s="57"/>
      <c r="AG14" s="8"/>
      <c r="AH14" s="8" t="e">
        <f>+AH5/AH11</f>
        <v>#DIV/0!</v>
      </c>
      <c r="AI14" s="57"/>
      <c r="AJ14" s="8"/>
      <c r="AK14" s="8" t="e">
        <f>+AK5/AK11</f>
        <v>#DIV/0!</v>
      </c>
      <c r="AL14" s="16"/>
      <c r="AM14" s="16"/>
      <c r="AN14" s="16"/>
      <c r="AO14" s="16"/>
      <c r="AP14" s="36">
        <f>+AP5/AP11</f>
        <v>48.140234234234235</v>
      </c>
      <c r="AQ14" s="57"/>
      <c r="AR14" s="8"/>
      <c r="AS14" s="36">
        <f>+AS5/AS11</f>
        <v>48.140234234234235</v>
      </c>
      <c r="AT14" s="57"/>
      <c r="AU14" s="8"/>
    </row>
    <row r="15" spans="2:47">
      <c r="B15" s="10" t="s">
        <v>33</v>
      </c>
      <c r="C15" s="16"/>
      <c r="D15" s="8">
        <f>+D12/D11</f>
        <v>32.685464285714282</v>
      </c>
      <c r="E15" s="57"/>
      <c r="F15" s="8"/>
      <c r="G15" s="8">
        <f>+G12/G11</f>
        <v>31.448357142857141</v>
      </c>
      <c r="H15" s="57"/>
      <c r="I15" s="8"/>
      <c r="J15" s="8">
        <f>+J12/J11</f>
        <v>32.807214285714288</v>
      </c>
      <c r="K15" s="57"/>
      <c r="L15" s="8"/>
      <c r="M15" s="8">
        <f>+M12/M11</f>
        <v>33.909838928571432</v>
      </c>
      <c r="N15" s="57"/>
      <c r="O15" s="8"/>
      <c r="P15" s="8">
        <f>+P12/P11</f>
        <v>37.513392857142854</v>
      </c>
      <c r="Q15" s="57"/>
      <c r="R15" s="8"/>
      <c r="S15" s="8">
        <f>+S12/S11</f>
        <v>40.185754285714282</v>
      </c>
      <c r="T15" s="57"/>
      <c r="U15" s="8"/>
      <c r="V15" s="8">
        <f>+V12/V11</f>
        <v>47.969328888888896</v>
      </c>
      <c r="W15" s="57"/>
      <c r="X15" s="8"/>
      <c r="Y15" s="8">
        <f>+Y12/Y11</f>
        <v>37.047296296296295</v>
      </c>
      <c r="Z15" s="57"/>
      <c r="AA15" s="8"/>
      <c r="AB15" s="8" t="e">
        <f>+AB12/AB11</f>
        <v>#DIV/0!</v>
      </c>
      <c r="AC15" s="57"/>
      <c r="AD15" s="8"/>
      <c r="AE15" s="8" t="e">
        <f>+AE12/AE11</f>
        <v>#DIV/0!</v>
      </c>
      <c r="AF15" s="57"/>
      <c r="AG15" s="8"/>
      <c r="AH15" s="8" t="e">
        <f>+AH12/AH11</f>
        <v>#DIV/0!</v>
      </c>
      <c r="AI15" s="57"/>
      <c r="AJ15" s="8"/>
      <c r="AK15" s="8" t="e">
        <f>+AK12/AK11</f>
        <v>#DIV/0!</v>
      </c>
      <c r="AL15" s="16"/>
      <c r="AM15" s="16"/>
      <c r="AN15" s="16"/>
      <c r="AO15" s="16"/>
      <c r="AP15" s="36">
        <f>+AP12/AP11</f>
        <v>36.64346617117117</v>
      </c>
      <c r="AQ15" s="57"/>
      <c r="AR15" s="8"/>
      <c r="AS15" s="36">
        <f>+AS12/AS11</f>
        <v>36.64346617117117</v>
      </c>
      <c r="AT15" s="57"/>
      <c r="AU15" s="8"/>
    </row>
    <row r="16" spans="2:47">
      <c r="B16" s="18" t="s">
        <v>20</v>
      </c>
      <c r="C16" s="16"/>
      <c r="D16" s="33">
        <f>+D12/D7</f>
        <v>0.72710058558580382</v>
      </c>
      <c r="E16" s="57"/>
      <c r="F16" s="33"/>
      <c r="G16" s="33">
        <f>+G12/G7</f>
        <v>0.77838696659331774</v>
      </c>
      <c r="H16" s="57"/>
      <c r="I16" s="33"/>
      <c r="J16" s="33">
        <f>+J12/J7</f>
        <v>0.68017078424794231</v>
      </c>
      <c r="K16" s="57"/>
      <c r="L16" s="33"/>
      <c r="M16" s="33">
        <f>+M12/M7</f>
        <v>0.75705793552347067</v>
      </c>
      <c r="N16" s="57"/>
      <c r="O16" s="33"/>
      <c r="P16" s="33">
        <f>+P12/P7</f>
        <v>0.81270524990530724</v>
      </c>
      <c r="Q16" s="57"/>
      <c r="R16" s="33"/>
      <c r="S16" s="33">
        <f>+S12/S7</f>
        <v>0.86305570766696982</v>
      </c>
      <c r="T16" s="57"/>
      <c r="U16" s="33"/>
      <c r="V16" s="33">
        <f>+V12/V7</f>
        <v>1.0774027176226884</v>
      </c>
      <c r="W16" s="57"/>
      <c r="X16" s="33"/>
      <c r="Y16" s="33">
        <f>+Y12/Y7</f>
        <v>0.87698154999861044</v>
      </c>
      <c r="Z16" s="57"/>
      <c r="AA16" s="33"/>
      <c r="AB16" s="33" t="e">
        <f>+AB12/AB7</f>
        <v>#DIV/0!</v>
      </c>
      <c r="AC16" s="57"/>
      <c r="AD16" s="33"/>
      <c r="AE16" s="33" t="e">
        <f>+AE12/AE7</f>
        <v>#DIV/0!</v>
      </c>
      <c r="AF16" s="57"/>
      <c r="AG16" s="33"/>
      <c r="AH16" s="33" t="e">
        <f>+AH12/AH7</f>
        <v>#DIV/0!</v>
      </c>
      <c r="AI16" s="57"/>
      <c r="AJ16" s="33"/>
      <c r="AK16" s="33" t="e">
        <f>+AK12/AK7</f>
        <v>#DIV/0!</v>
      </c>
      <c r="AL16" s="16"/>
      <c r="AM16" s="16"/>
      <c r="AN16" s="16"/>
      <c r="AO16" s="16"/>
      <c r="AP16" s="35">
        <f>+AP12/AP7</f>
        <v>0.8189264894990097</v>
      </c>
      <c r="AQ16" s="57"/>
      <c r="AR16" s="33"/>
      <c r="AS16" s="35">
        <f>+AS12/AS7</f>
        <v>0.8189264894990097</v>
      </c>
      <c r="AT16" s="57"/>
      <c r="AU16" s="33"/>
    </row>
    <row r="17" spans="2:47" ht="7.5" customHeight="1">
      <c r="B17" s="7"/>
      <c r="C17" s="16"/>
      <c r="D17" s="32"/>
      <c r="E17" s="57"/>
      <c r="F17" s="57"/>
      <c r="G17" s="32"/>
      <c r="H17" s="57"/>
      <c r="I17" s="57"/>
      <c r="J17" s="32"/>
      <c r="K17" s="57"/>
      <c r="L17" s="57"/>
      <c r="M17" s="32"/>
      <c r="N17" s="57"/>
      <c r="O17" s="57"/>
      <c r="P17" s="32"/>
      <c r="Q17" s="57"/>
      <c r="R17" s="57"/>
      <c r="S17" s="32"/>
      <c r="T17" s="57"/>
      <c r="U17" s="57"/>
      <c r="V17" s="32"/>
      <c r="W17" s="57"/>
      <c r="X17" s="57"/>
      <c r="Y17" s="32"/>
      <c r="Z17" s="57"/>
      <c r="AA17" s="57"/>
      <c r="AB17" s="32"/>
      <c r="AC17" s="57"/>
      <c r="AD17" s="57"/>
      <c r="AE17" s="32"/>
      <c r="AF17" s="57"/>
      <c r="AG17" s="57"/>
      <c r="AH17" s="32"/>
      <c r="AI17" s="57"/>
      <c r="AJ17" s="57"/>
      <c r="AK17" s="16"/>
      <c r="AL17" s="16"/>
      <c r="AM17" s="16"/>
      <c r="AN17" s="16"/>
      <c r="AO17" s="16"/>
      <c r="AP17" s="16"/>
      <c r="AQ17" s="57"/>
      <c r="AR17" s="57"/>
      <c r="AS17" s="16"/>
      <c r="AT17" s="57"/>
      <c r="AU17" s="57"/>
    </row>
    <row r="18" spans="2:47">
      <c r="B18" s="17" t="s">
        <v>22</v>
      </c>
      <c r="C18" s="16"/>
      <c r="D18" s="11">
        <v>12170</v>
      </c>
      <c r="E18" s="11">
        <v>12170</v>
      </c>
      <c r="F18" s="67">
        <f>+D18/F4</f>
        <v>1217</v>
      </c>
      <c r="G18" s="11">
        <v>10129</v>
      </c>
      <c r="H18" s="11">
        <v>10129</v>
      </c>
      <c r="I18" s="67">
        <f>+G18/I4</f>
        <v>1012.9</v>
      </c>
      <c r="J18" s="11">
        <v>11940</v>
      </c>
      <c r="K18" s="11">
        <v>11940</v>
      </c>
      <c r="L18" s="67">
        <f>+J18/L4</f>
        <v>1194</v>
      </c>
      <c r="M18" s="11">
        <v>11529</v>
      </c>
      <c r="N18" s="11">
        <v>11529</v>
      </c>
      <c r="O18" s="67">
        <f>+M18/O4</f>
        <v>1152.9000000000001</v>
      </c>
      <c r="P18" s="11">
        <v>11440</v>
      </c>
      <c r="Q18" s="11">
        <v>11440</v>
      </c>
      <c r="R18" s="67">
        <f>+P18/R4</f>
        <v>1144</v>
      </c>
      <c r="S18" s="11">
        <v>10883</v>
      </c>
      <c r="T18" s="11">
        <v>10883</v>
      </c>
      <c r="U18" s="67">
        <f>+S18/U4</f>
        <v>1088.3</v>
      </c>
      <c r="V18" s="11">
        <v>11474</v>
      </c>
      <c r="W18" s="11">
        <v>11474</v>
      </c>
      <c r="X18" s="67">
        <f>+V18/X4</f>
        <v>1147.4000000000001</v>
      </c>
      <c r="Y18" s="11">
        <v>10950</v>
      </c>
      <c r="Z18" s="11">
        <v>10950</v>
      </c>
      <c r="AA18" s="67">
        <f>+Y18/AA4</f>
        <v>1095</v>
      </c>
      <c r="AB18" s="11">
        <v>0</v>
      </c>
      <c r="AC18" s="11">
        <v>0</v>
      </c>
      <c r="AD18" s="67" t="e">
        <f>+AB18/AD4</f>
        <v>#DIV/0!</v>
      </c>
      <c r="AE18" s="11">
        <v>0</v>
      </c>
      <c r="AF18" s="11">
        <v>0</v>
      </c>
      <c r="AG18" s="67" t="e">
        <f>+AE18/AG4</f>
        <v>#DIV/0!</v>
      </c>
      <c r="AH18" s="11">
        <v>0</v>
      </c>
      <c r="AI18" s="11">
        <v>0</v>
      </c>
      <c r="AJ18" s="67" t="e">
        <f>+AH18/AJ4</f>
        <v>#DIV/0!</v>
      </c>
      <c r="AK18" s="11">
        <v>0</v>
      </c>
      <c r="AL18" s="11">
        <v>0</v>
      </c>
      <c r="AM18" s="67" t="e">
        <f>+AK18/AM4</f>
        <v>#DIV/0!</v>
      </c>
      <c r="AN18" s="16"/>
      <c r="AO18" s="16"/>
      <c r="AP18" s="92">
        <f t="shared" ref="AP18:AP20" si="2">+S18+AB18+AE18+AH18+AK18+Y18+P18+M18+J18+G18+D18+V18</f>
        <v>90515</v>
      </c>
      <c r="AQ18" s="67">
        <f>+T18+AC18+AF18+AI18+AL18+Z18+W18+Q18+N18+K18+H18+E18</f>
        <v>90515</v>
      </c>
      <c r="AR18" s="67">
        <f>+AP18/AR4</f>
        <v>9051.5</v>
      </c>
      <c r="AS18" s="14">
        <f t="shared" ref="AS18:AT20" si="3">+AP18/$AS$4</f>
        <v>11314.375</v>
      </c>
      <c r="AT18" s="67">
        <f t="shared" si="3"/>
        <v>11314.375</v>
      </c>
      <c r="AU18" s="67">
        <f>+AS18/AU4</f>
        <v>1131.4375</v>
      </c>
    </row>
    <row r="19" spans="2:47">
      <c r="B19" s="17" t="s">
        <v>32</v>
      </c>
      <c r="C19" s="16"/>
      <c r="D19" s="11">
        <v>1210.5899999999999</v>
      </c>
      <c r="E19" s="11">
        <v>1210.5899999999999</v>
      </c>
      <c r="F19" s="67">
        <f>+D19/F4</f>
        <v>121.059</v>
      </c>
      <c r="G19" s="11">
        <v>924.84</v>
      </c>
      <c r="H19" s="11">
        <v>924.84</v>
      </c>
      <c r="I19" s="67">
        <f>+G19/I4</f>
        <v>92.484000000000009</v>
      </c>
      <c r="J19" s="11">
        <v>1086.1199999999999</v>
      </c>
      <c r="K19" s="11">
        <v>1086.1199999999999</v>
      </c>
      <c r="L19" s="67">
        <f>+J19/L4</f>
        <v>108.61199999999999</v>
      </c>
      <c r="M19" s="11">
        <v>981.09</v>
      </c>
      <c r="N19" s="11">
        <v>981.09</v>
      </c>
      <c r="O19" s="67">
        <f>+M19/O4</f>
        <v>98.109000000000009</v>
      </c>
      <c r="P19" s="11">
        <v>971.04</v>
      </c>
      <c r="Q19" s="11">
        <v>971.04</v>
      </c>
      <c r="R19" s="67">
        <f>+P19/R4</f>
        <v>97.103999999999999</v>
      </c>
      <c r="S19" s="11">
        <v>1084.23</v>
      </c>
      <c r="T19" s="11">
        <v>1084.23</v>
      </c>
      <c r="U19" s="67">
        <f>+S19/U4</f>
        <v>108.423</v>
      </c>
      <c r="V19" s="11">
        <v>940.16</v>
      </c>
      <c r="W19" s="11">
        <v>940.16</v>
      </c>
      <c r="X19" s="67">
        <f>+V19/X4</f>
        <v>94.015999999999991</v>
      </c>
      <c r="Y19" s="11">
        <v>988.01</v>
      </c>
      <c r="Z19" s="11">
        <v>988.01</v>
      </c>
      <c r="AA19" s="67">
        <f>+Y19/AA4</f>
        <v>98.801000000000002</v>
      </c>
      <c r="AB19" s="11">
        <v>0</v>
      </c>
      <c r="AC19" s="11">
        <v>0</v>
      </c>
      <c r="AD19" s="67" t="e">
        <f>+AB19/AD4</f>
        <v>#DIV/0!</v>
      </c>
      <c r="AE19" s="11">
        <v>0</v>
      </c>
      <c r="AF19" s="11">
        <v>0</v>
      </c>
      <c r="AG19" s="67" t="e">
        <f>+AE19/AG4</f>
        <v>#DIV/0!</v>
      </c>
      <c r="AH19" s="11">
        <v>0</v>
      </c>
      <c r="AI19" s="11">
        <v>0</v>
      </c>
      <c r="AJ19" s="67" t="e">
        <f>+AH19/AJ4</f>
        <v>#DIV/0!</v>
      </c>
      <c r="AK19" s="11">
        <v>0</v>
      </c>
      <c r="AL19" s="11">
        <v>0</v>
      </c>
      <c r="AM19" s="67" t="e">
        <f>+AK19/AM4</f>
        <v>#DIV/0!</v>
      </c>
      <c r="AN19" s="16"/>
      <c r="AO19" s="16"/>
      <c r="AP19" s="92">
        <f t="shared" si="2"/>
        <v>8186.08</v>
      </c>
      <c r="AQ19" s="67">
        <f t="shared" ref="AQ19:AQ20" si="4">+T19+AC19+AF19+AI19+AL19+Z19+W19+Q19+N19+K19+H19+E19</f>
        <v>8186.08</v>
      </c>
      <c r="AR19" s="67">
        <f>+AP19/AR4</f>
        <v>818.60799999999995</v>
      </c>
      <c r="AS19" s="14">
        <f t="shared" si="3"/>
        <v>1023.26</v>
      </c>
      <c r="AT19" s="67">
        <f t="shared" si="3"/>
        <v>1023.26</v>
      </c>
      <c r="AU19" s="67">
        <f>+AS19/AU4</f>
        <v>102.32599999999999</v>
      </c>
    </row>
    <row r="20" spans="2:47">
      <c r="B20" s="17" t="s">
        <v>27</v>
      </c>
      <c r="C20" s="16"/>
      <c r="D20" s="11">
        <f>5.7404+30.9237</f>
        <v>36.664099999999998</v>
      </c>
      <c r="E20" s="59">
        <v>36.664090000000002</v>
      </c>
      <c r="F20" s="67">
        <f>+D20/F4</f>
        <v>3.6664099999999999</v>
      </c>
      <c r="G20" s="11">
        <f>3.7773+23.158</f>
        <v>26.935300000000002</v>
      </c>
      <c r="H20" s="59">
        <v>26.935320000000001</v>
      </c>
      <c r="I20" s="67">
        <f>+G20/I4</f>
        <v>2.69353</v>
      </c>
      <c r="J20" s="11">
        <f>4.5329+28.6551</f>
        <v>33.188000000000002</v>
      </c>
      <c r="K20" s="59">
        <v>33.188000000000002</v>
      </c>
      <c r="L20" s="67">
        <f>+J20/L4</f>
        <v>3.3188000000000004</v>
      </c>
      <c r="M20" s="11">
        <f>4.0179+26.1011</f>
        <v>30.119</v>
      </c>
      <c r="N20" s="59">
        <v>30.119</v>
      </c>
      <c r="O20" s="67">
        <f>+M20/O4</f>
        <v>3.0118999999999998</v>
      </c>
      <c r="P20" s="11">
        <f>4.2759+26.0784</f>
        <v>30.354299999999999</v>
      </c>
      <c r="Q20" s="59">
        <v>30.354289999999999</v>
      </c>
      <c r="R20" s="67">
        <f>+P20/R4</f>
        <v>3.0354299999999999</v>
      </c>
      <c r="S20" s="11">
        <f>7.1262+26.8737</f>
        <v>33.999899999999997</v>
      </c>
      <c r="T20" s="59">
        <v>33.999879999999997</v>
      </c>
      <c r="U20" s="67">
        <f>+S20/U4</f>
        <v>3.3999899999999998</v>
      </c>
      <c r="V20" s="11">
        <f>2.6366+26.0358</f>
        <v>28.6724</v>
      </c>
      <c r="W20" s="59">
        <v>28.672419999999999</v>
      </c>
      <c r="X20" s="67">
        <f>+V20/X4</f>
        <v>2.8672399999999998</v>
      </c>
      <c r="Y20" s="11">
        <f>5.1591+23.268</f>
        <v>28.427099999999999</v>
      </c>
      <c r="Z20" s="59">
        <v>28.427289999999999</v>
      </c>
      <c r="AA20" s="67">
        <f>+Y20/AA4</f>
        <v>2.8427099999999998</v>
      </c>
      <c r="AB20" s="11">
        <v>0</v>
      </c>
      <c r="AC20" s="59">
        <v>0</v>
      </c>
      <c r="AD20" s="67" t="e">
        <f>+AB20/AD4</f>
        <v>#DIV/0!</v>
      </c>
      <c r="AE20" s="11">
        <v>0</v>
      </c>
      <c r="AF20" s="59">
        <v>0</v>
      </c>
      <c r="AG20" s="67" t="e">
        <f>+AE20/AG4</f>
        <v>#DIV/0!</v>
      </c>
      <c r="AH20" s="11">
        <v>0</v>
      </c>
      <c r="AI20" s="59">
        <v>0</v>
      </c>
      <c r="AJ20" s="67" t="e">
        <f>+AH20/AJ4</f>
        <v>#DIV/0!</v>
      </c>
      <c r="AK20" s="11">
        <v>0</v>
      </c>
      <c r="AL20" s="59">
        <v>0</v>
      </c>
      <c r="AM20" s="67" t="e">
        <f>+AK20/AM4</f>
        <v>#DIV/0!</v>
      </c>
      <c r="AN20" s="16"/>
      <c r="AO20" s="16"/>
      <c r="AP20" s="92">
        <f t="shared" si="2"/>
        <v>248.36010000000002</v>
      </c>
      <c r="AQ20" s="67">
        <f t="shared" si="4"/>
        <v>248.36028999999996</v>
      </c>
      <c r="AR20" s="67">
        <f>+AP20/AR4</f>
        <v>24.836010000000002</v>
      </c>
      <c r="AS20" s="14">
        <f t="shared" si="3"/>
        <v>31.045012500000002</v>
      </c>
      <c r="AT20" s="67">
        <f t="shared" si="3"/>
        <v>31.045036249999995</v>
      </c>
      <c r="AU20" s="67">
        <f>+AS20/AU4</f>
        <v>3.1045012500000002</v>
      </c>
    </row>
    <row r="21" spans="2:47">
      <c r="B21" s="18" t="s">
        <v>18</v>
      </c>
      <c r="C21" s="16"/>
      <c r="D21" s="44">
        <f t="shared" ref="D21:E21" si="5">+D20/D19*1000</f>
        <v>30.286141468209717</v>
      </c>
      <c r="E21" s="60">
        <f t="shared" si="5"/>
        <v>30.286133207774725</v>
      </c>
      <c r="F21" s="60"/>
      <c r="G21" s="44">
        <f t="shared" ref="G21:H21" si="6">+G20/G19*1000</f>
        <v>29.124280956706027</v>
      </c>
      <c r="H21" s="60">
        <f t="shared" si="6"/>
        <v>29.12430258206825</v>
      </c>
      <c r="I21" s="60"/>
      <c r="J21" s="44">
        <f t="shared" ref="J21:K21" si="7">+J20/J19*1000</f>
        <v>30.556476264132883</v>
      </c>
      <c r="K21" s="60">
        <f t="shared" si="7"/>
        <v>30.556476264132883</v>
      </c>
      <c r="L21" s="60"/>
      <c r="M21" s="44">
        <f t="shared" ref="M21:N21" si="8">+M20/M19*1000</f>
        <v>30.699528075915563</v>
      </c>
      <c r="N21" s="60">
        <f t="shared" si="8"/>
        <v>30.699528075915563</v>
      </c>
      <c r="O21" s="60"/>
      <c r="P21" s="44">
        <f t="shared" ref="P21:Q21" si="9">+P20/P19*1000</f>
        <v>31.259577360355909</v>
      </c>
      <c r="Q21" s="60">
        <f t="shared" si="9"/>
        <v>31.259567062118965</v>
      </c>
      <c r="R21" s="60"/>
      <c r="S21" s="44">
        <f t="shared" ref="S21:AC21" si="10">+S20/S19*1000</f>
        <v>31.358567831548655</v>
      </c>
      <c r="T21" s="60">
        <f t="shared" si="10"/>
        <v>31.358549385278032</v>
      </c>
      <c r="U21" s="60"/>
      <c r="V21" s="44">
        <f t="shared" ref="V21:W21" si="11">+V20/V19*1000</f>
        <v>30.497362151123216</v>
      </c>
      <c r="W21" s="60">
        <f t="shared" si="11"/>
        <v>30.497383424098025</v>
      </c>
      <c r="X21" s="68"/>
      <c r="Y21" s="44">
        <f t="shared" ref="Y21:Z21" si="12">+Y20/Y19*1000</f>
        <v>28.772077205696299</v>
      </c>
      <c r="Z21" s="60">
        <f t="shared" si="12"/>
        <v>28.77226951144219</v>
      </c>
      <c r="AA21" s="68"/>
      <c r="AB21" s="44" t="e">
        <f t="shared" si="10"/>
        <v>#DIV/0!</v>
      </c>
      <c r="AC21" s="60" t="e">
        <f t="shared" si="10"/>
        <v>#DIV/0!</v>
      </c>
      <c r="AD21" s="60"/>
      <c r="AE21" s="44" t="e">
        <f t="shared" ref="AE21:AF21" si="13">+AE20/AE19*1000</f>
        <v>#DIV/0!</v>
      </c>
      <c r="AF21" s="60" t="e">
        <f t="shared" si="13"/>
        <v>#DIV/0!</v>
      </c>
      <c r="AG21" s="60"/>
      <c r="AH21" s="44" t="e">
        <f t="shared" ref="AH21:AI21" si="14">+AH20/AH19*1000</f>
        <v>#DIV/0!</v>
      </c>
      <c r="AI21" s="60" t="e">
        <f t="shared" si="14"/>
        <v>#DIV/0!</v>
      </c>
      <c r="AJ21" s="60"/>
      <c r="AK21" s="44" t="e">
        <f t="shared" ref="AK21:AL21" si="15">+AK20/AK19*1000</f>
        <v>#DIV/0!</v>
      </c>
      <c r="AL21" s="60" t="e">
        <f t="shared" si="15"/>
        <v>#DIV/0!</v>
      </c>
      <c r="AM21" s="16"/>
      <c r="AN21" s="16"/>
      <c r="AO21" s="16"/>
      <c r="AP21" s="45">
        <f>+AP20/AP19*1000</f>
        <v>30.339319918691245</v>
      </c>
      <c r="AQ21" s="68">
        <f>+AQ20/AQ19*1000</f>
        <v>30.339343128823561</v>
      </c>
      <c r="AR21" s="60"/>
      <c r="AS21" s="45">
        <f>+AS20/AS19*1000</f>
        <v>30.339319918691245</v>
      </c>
      <c r="AT21" s="68">
        <f>+AT20/AT19*1000</f>
        <v>30.339343128823561</v>
      </c>
      <c r="AU21" s="60"/>
    </row>
    <row r="22" spans="2:47">
      <c r="B22" s="18" t="s">
        <v>21</v>
      </c>
      <c r="C22" s="16"/>
      <c r="D22" s="46">
        <f>+D19/D18</f>
        <v>9.9473294987674599E-2</v>
      </c>
      <c r="E22" s="46">
        <f>+E19/E18</f>
        <v>9.9473294987674599E-2</v>
      </c>
      <c r="F22" s="61"/>
      <c r="G22" s="46">
        <f>+G19/G18</f>
        <v>9.1306150656530763E-2</v>
      </c>
      <c r="H22" s="46">
        <f>+H19/H18</f>
        <v>9.1306150656530763E-2</v>
      </c>
      <c r="I22" s="61"/>
      <c r="J22" s="46">
        <f>+J19/J18</f>
        <v>9.0964824120602999E-2</v>
      </c>
      <c r="K22" s="46">
        <f>+K19/K18</f>
        <v>9.0964824120602999E-2</v>
      </c>
      <c r="L22" s="61"/>
      <c r="M22" s="46">
        <f>+M19/M18</f>
        <v>8.5097580015612809E-2</v>
      </c>
      <c r="N22" s="46">
        <f>+N19/N18</f>
        <v>8.5097580015612809E-2</v>
      </c>
      <c r="O22" s="61"/>
      <c r="P22" s="46">
        <f>+P19/P18</f>
        <v>8.4881118881118878E-2</v>
      </c>
      <c r="Q22" s="46">
        <f>+Q19/Q18</f>
        <v>8.4881118881118878E-2</v>
      </c>
      <c r="R22" s="61"/>
      <c r="S22" s="46">
        <f>+S19/S18</f>
        <v>9.9626022236515663E-2</v>
      </c>
      <c r="T22" s="46">
        <f>+T19/T18</f>
        <v>9.9626022236515663E-2</v>
      </c>
      <c r="U22" s="61"/>
      <c r="V22" s="88">
        <f>+V19/V18</f>
        <v>8.1938295276276801E-2</v>
      </c>
      <c r="W22" s="47">
        <f>+W19/W18</f>
        <v>8.1938295276276801E-2</v>
      </c>
      <c r="X22" s="69"/>
      <c r="Y22" s="88">
        <f>+Y19/Y18</f>
        <v>9.0229223744292236E-2</v>
      </c>
      <c r="Z22" s="47">
        <f>+Z19/Z18</f>
        <v>9.0229223744292236E-2</v>
      </c>
      <c r="AA22" s="69"/>
      <c r="AB22" s="88" t="e">
        <f>+AB19/AB18</f>
        <v>#DIV/0!</v>
      </c>
      <c r="AC22" s="47" t="e">
        <f>+AC19/AC18</f>
        <v>#DIV/0!</v>
      </c>
      <c r="AD22" s="61"/>
      <c r="AE22" s="88" t="e">
        <f>+AE19/AE18</f>
        <v>#DIV/0!</v>
      </c>
      <c r="AF22" s="47" t="e">
        <f>+AF19/AF18</f>
        <v>#DIV/0!</v>
      </c>
      <c r="AG22" s="61"/>
      <c r="AH22" s="88" t="e">
        <f>+AH19/AH18</f>
        <v>#DIV/0!</v>
      </c>
      <c r="AI22" s="47" t="e">
        <f>+AI19/AI18</f>
        <v>#DIV/0!</v>
      </c>
      <c r="AJ22" s="61"/>
      <c r="AK22" s="88" t="e">
        <f>+AK19/AK18</f>
        <v>#DIV/0!</v>
      </c>
      <c r="AL22" s="47" t="e">
        <f>+AL19/AL18</f>
        <v>#DIV/0!</v>
      </c>
      <c r="AM22" s="16"/>
      <c r="AN22" s="16"/>
      <c r="AO22" s="16"/>
      <c r="AP22" s="47">
        <f>+AP19/AP18</f>
        <v>9.0438932773573441E-2</v>
      </c>
      <c r="AQ22" s="47">
        <f>+AQ19/AQ18</f>
        <v>9.0438932773573441E-2</v>
      </c>
      <c r="AR22" s="61"/>
      <c r="AS22" s="47">
        <f>+AS19/AS18</f>
        <v>9.0438932773573441E-2</v>
      </c>
      <c r="AT22" s="47">
        <f>+AT19/AT18</f>
        <v>9.0438932773573441E-2</v>
      </c>
      <c r="AU22" s="61"/>
    </row>
    <row r="23" spans="2:47">
      <c r="B23" s="10" t="s">
        <v>28</v>
      </c>
      <c r="C23" s="10"/>
      <c r="D23" s="48">
        <f>+D20*1000/(D18*D21)*100</f>
        <v>9.9473294987674592</v>
      </c>
      <c r="E23" s="48">
        <f>+E20*1000/(E18*E21)*100</f>
        <v>9.947329498767461</v>
      </c>
      <c r="F23" s="62"/>
      <c r="G23" s="48">
        <f>+G20*1000/(G18*G21)*100</f>
        <v>9.1306150656530765</v>
      </c>
      <c r="H23" s="48">
        <f>+H20*1000/(H18*H21)*100</f>
        <v>9.1306150656530747</v>
      </c>
      <c r="I23" s="62"/>
      <c r="J23" s="48">
        <f>+J20*1000/(J18*J21)*100</f>
        <v>9.0964824120603005</v>
      </c>
      <c r="K23" s="48">
        <f>+K20*1000/(K18*K21)*100</f>
        <v>9.0964824120603005</v>
      </c>
      <c r="L23" s="62"/>
      <c r="M23" s="48">
        <f>+M20*1000/(M18*M21)*100</f>
        <v>8.5097580015612806</v>
      </c>
      <c r="N23" s="48">
        <f>+N20*1000/(N18*N21)*100</f>
        <v>8.5097580015612806</v>
      </c>
      <c r="O23" s="62"/>
      <c r="P23" s="48">
        <f>+P20*1000/(P18*P21)*100</f>
        <v>8.4881118881118862</v>
      </c>
      <c r="Q23" s="48">
        <f>+Q20*1000/(Q18*Q21)*100</f>
        <v>8.488111888111888</v>
      </c>
      <c r="R23" s="62"/>
      <c r="S23" s="48">
        <f>+S20*1000/(S18*S21)*100</f>
        <v>9.962602223651567</v>
      </c>
      <c r="T23" s="48">
        <f>+T20*1000/(T18*T21)*100</f>
        <v>9.9626022236515652</v>
      </c>
      <c r="U23" s="62"/>
      <c r="V23" s="49">
        <f>+V20*1000/(V18*V21)*100</f>
        <v>8.1938295276276794</v>
      </c>
      <c r="W23" s="49">
        <f>+W20/(W18*W21)*1000*100</f>
        <v>8.1938295276276794</v>
      </c>
      <c r="X23" s="70"/>
      <c r="Y23" s="49">
        <f>+Y20*1000/(Y18*Y21)*100</f>
        <v>9.0229223744292231</v>
      </c>
      <c r="Z23" s="49">
        <f>+Z20/(Z18*Z21)*1000*100</f>
        <v>9.0229223744292231</v>
      </c>
      <c r="AA23" s="70"/>
      <c r="AB23" s="49" t="e">
        <f>+AB20*1000/(AB18*AB21)*100</f>
        <v>#DIV/0!</v>
      </c>
      <c r="AC23" s="49" t="e">
        <f>+AC20/(AC18*AC21)*1000*100</f>
        <v>#DIV/0!</v>
      </c>
      <c r="AD23" s="62"/>
      <c r="AE23" s="49" t="e">
        <f>+AE20*1000/(AE18*AE21)*100</f>
        <v>#DIV/0!</v>
      </c>
      <c r="AF23" s="49" t="e">
        <f>+AF20/(AF18*AF21)*1000*100</f>
        <v>#DIV/0!</v>
      </c>
      <c r="AG23" s="62"/>
      <c r="AH23" s="49" t="e">
        <f>+AH20*1000/(AH18*AH21)*100</f>
        <v>#DIV/0!</v>
      </c>
      <c r="AI23" s="49" t="e">
        <f>+AI20/(AI18*AI21)*1000*100</f>
        <v>#DIV/0!</v>
      </c>
      <c r="AJ23" s="62"/>
      <c r="AK23" s="49" t="e">
        <f>+AK20*1000/(AK18*AK21)*100</f>
        <v>#DIV/0!</v>
      </c>
      <c r="AL23" s="49" t="e">
        <f>+AL20/(AL18*AL21)*1000*100</f>
        <v>#DIV/0!</v>
      </c>
      <c r="AM23" s="16"/>
      <c r="AN23" s="16"/>
      <c r="AO23" s="16"/>
      <c r="AP23" s="49">
        <f>+AP20/(AP18*AP21)*1000*100</f>
        <v>9.0438932773573431</v>
      </c>
      <c r="AQ23" s="49">
        <f>+AQ20/(AQ18*AQ21)*1000*100</f>
        <v>9.0438932773573431</v>
      </c>
      <c r="AR23" s="62"/>
      <c r="AS23" s="49">
        <f>+AS20/(AS18*AS21)*1000*100</f>
        <v>9.0438932773573431</v>
      </c>
      <c r="AT23" s="49">
        <f>+AT20/(AT18*AT21)*1000*100</f>
        <v>9.0438932773573431</v>
      </c>
    </row>
    <row r="24" spans="2:47">
      <c r="B24" s="18" t="s">
        <v>38</v>
      </c>
      <c r="C24" s="10"/>
      <c r="D24" s="48">
        <f>+D20/D18*1000</f>
        <v>3.0126622843056694</v>
      </c>
      <c r="E24" s="48">
        <f>+E20/E18*1000</f>
        <v>3.0126614626129831</v>
      </c>
      <c r="F24" s="62"/>
      <c r="G24" s="48">
        <f>+G20/G18*1000</f>
        <v>2.6592259847961301</v>
      </c>
      <c r="H24" s="48">
        <f>+H20/H18*1000</f>
        <v>2.6592279593247112</v>
      </c>
      <c r="I24" s="62"/>
      <c r="J24" s="48">
        <f>+J20/J18*1000</f>
        <v>2.7795644891122282</v>
      </c>
      <c r="K24" s="48">
        <f>+K20/K18*1000</f>
        <v>2.7795644891122282</v>
      </c>
      <c r="L24" s="62"/>
      <c r="M24" s="48">
        <f>+M20/M18*1000</f>
        <v>2.6124555468817765</v>
      </c>
      <c r="N24" s="48">
        <f>+N20/N18*1000</f>
        <v>2.6124555468817765</v>
      </c>
      <c r="O24" s="62"/>
      <c r="P24" s="48">
        <f>+P20/P18*1000</f>
        <v>2.6533479020979018</v>
      </c>
      <c r="Q24" s="48">
        <f>+Q20/Q18*1000</f>
        <v>2.6533470279720279</v>
      </c>
      <c r="R24" s="62"/>
      <c r="S24" s="48">
        <f>+S20/S18*1000</f>
        <v>3.124129376091151</v>
      </c>
      <c r="T24" s="48">
        <f>+T20/T18*1000</f>
        <v>3.1241275383625835</v>
      </c>
      <c r="U24" s="62"/>
      <c r="V24" s="48">
        <f>+V20/V18*1000</f>
        <v>2.4989018650862822</v>
      </c>
      <c r="W24" s="48">
        <f>+W20/W18*1000</f>
        <v>2.4989036081575735</v>
      </c>
      <c r="X24" s="62"/>
      <c r="Y24" s="48">
        <f>+Y20/Y18*1000</f>
        <v>2.5960821917808219</v>
      </c>
      <c r="Z24" s="48">
        <f>+Z20/Z18*1000</f>
        <v>2.5960995433789953</v>
      </c>
      <c r="AA24" s="62"/>
      <c r="AB24" s="48" t="e">
        <f>+AB20/AB18*1000</f>
        <v>#DIV/0!</v>
      </c>
      <c r="AC24" s="48" t="e">
        <f>+AC20/AC18*1000</f>
        <v>#DIV/0!</v>
      </c>
      <c r="AD24" s="62"/>
      <c r="AE24" s="48" t="e">
        <f>+AE20/AE18*1000</f>
        <v>#DIV/0!</v>
      </c>
      <c r="AF24" s="48" t="e">
        <f>+AF20/AF18*1000</f>
        <v>#DIV/0!</v>
      </c>
      <c r="AG24" s="62"/>
      <c r="AH24" s="48" t="e">
        <f>+AH20/AH18*1000</f>
        <v>#DIV/0!</v>
      </c>
      <c r="AI24" s="48" t="e">
        <f>+AI20/AI18*1000</f>
        <v>#DIV/0!</v>
      </c>
      <c r="AJ24" s="62"/>
      <c r="AK24" s="48" t="e">
        <f>+AK20/AK18*1000</f>
        <v>#DIV/0!</v>
      </c>
      <c r="AL24" s="48" t="e">
        <f>+AL20/AL18*1000</f>
        <v>#DIV/0!</v>
      </c>
      <c r="AM24" s="16"/>
      <c r="AN24" s="16"/>
      <c r="AO24" s="16"/>
      <c r="AP24" s="48">
        <f>+AP20/AP18*1000</f>
        <v>2.7438557145224549</v>
      </c>
      <c r="AQ24" s="48">
        <f>+AQ20/AQ18*1000</f>
        <v>2.7438578136220513</v>
      </c>
      <c r="AR24" s="62"/>
      <c r="AS24" s="48">
        <f>+AS20/AS18*1000</f>
        <v>2.7438557145224549</v>
      </c>
      <c r="AT24" s="48">
        <f>+AT20/AT18*1000</f>
        <v>2.7438578136220513</v>
      </c>
    </row>
    <row r="25" spans="2:47" ht="7.5" customHeight="1">
      <c r="B25" s="16"/>
      <c r="E25" s="63"/>
      <c r="F25" s="63"/>
      <c r="H25" s="63"/>
      <c r="I25" s="63"/>
      <c r="K25" s="63"/>
      <c r="L25" s="63"/>
      <c r="N25" s="63"/>
      <c r="O25" s="63"/>
      <c r="Q25" s="63"/>
      <c r="R25" s="63"/>
      <c r="T25" s="63"/>
      <c r="U25" s="63"/>
      <c r="W25" s="63"/>
      <c r="X25" s="74"/>
      <c r="Z25" s="63"/>
      <c r="AA25" s="74"/>
      <c r="AC25" s="63"/>
      <c r="AD25" s="63"/>
      <c r="AF25" s="63"/>
      <c r="AG25" s="63"/>
      <c r="AI25" s="63"/>
      <c r="AJ25" s="63"/>
      <c r="AQ25" s="63"/>
      <c r="AR25" s="63"/>
      <c r="AT25" s="63"/>
    </row>
    <row r="26" spans="2:47">
      <c r="B26" s="20" t="s">
        <v>35</v>
      </c>
      <c r="C26" s="19"/>
      <c r="D26" s="21">
        <f>+D8/(1-D6/D5)</f>
        <v>1288.9602300426563</v>
      </c>
      <c r="E26" s="63"/>
      <c r="F26" s="63"/>
      <c r="G26" s="21">
        <f>+G8/(1-G6/G5)</f>
        <v>1221.3535816126166</v>
      </c>
      <c r="H26" s="63"/>
      <c r="I26" s="63"/>
      <c r="J26" s="21">
        <f>+J8/(1-J6/J5)</f>
        <v>1261.0813713060222</v>
      </c>
      <c r="K26" s="63"/>
      <c r="L26" s="63"/>
      <c r="M26" s="21">
        <f>+M8/(1-M6/M5)</f>
        <v>1360.8351791060329</v>
      </c>
      <c r="N26" s="63"/>
      <c r="O26" s="63"/>
      <c r="P26" s="21">
        <f>+P8/(1-P6/P5)</f>
        <v>1363.6995114259219</v>
      </c>
      <c r="Q26" s="63"/>
      <c r="R26" s="63"/>
      <c r="S26" s="21">
        <f>+S8/(1-S6/S5)</f>
        <v>1511.3923399579185</v>
      </c>
      <c r="T26" s="63"/>
      <c r="U26" s="63"/>
      <c r="V26" s="21">
        <f>+V8/(1-V6/V5)</f>
        <v>1222.411244771547</v>
      </c>
      <c r="W26" s="63"/>
      <c r="X26" s="74"/>
      <c r="Y26" s="21">
        <f>+Y8/(1-Y6/Y5)</f>
        <v>1289.084055761633</v>
      </c>
      <c r="Z26" s="63"/>
      <c r="AA26" s="74"/>
      <c r="AB26" s="21" t="e">
        <f>+AB8/(1-AB6/AB5)</f>
        <v>#DIV/0!</v>
      </c>
      <c r="AC26" s="63"/>
      <c r="AD26" s="63"/>
      <c r="AE26" s="21" t="e">
        <f>+AE8/(1-AE6/AE5)</f>
        <v>#DIV/0!</v>
      </c>
      <c r="AF26" s="63"/>
      <c r="AG26" s="63"/>
      <c r="AH26" s="21" t="e">
        <f>+AH8/(1-AH6/AH5)</f>
        <v>#DIV/0!</v>
      </c>
      <c r="AI26" s="63"/>
      <c r="AJ26" s="63"/>
      <c r="AK26" s="21" t="e">
        <f>+AK8/(1-AK6/AK5)</f>
        <v>#DIV/0!</v>
      </c>
      <c r="AP26" s="31">
        <f>+AP8/(1-AP6/AP5)</f>
        <v>10525.399880899835</v>
      </c>
      <c r="AQ26" s="71"/>
      <c r="AR26" s="71"/>
      <c r="AS26" s="31">
        <f>+AS8/(1-AS6/AS5)</f>
        <v>1315.6749851124794</v>
      </c>
      <c r="AT26" s="71"/>
    </row>
    <row r="27" spans="2:47">
      <c r="Y27" s="12"/>
    </row>
    <row r="28" spans="2:47">
      <c r="Y28" s="12"/>
    </row>
    <row r="29" spans="2:47">
      <c r="Y29" s="12"/>
    </row>
    <row r="30" spans="2:47">
      <c r="Y30" s="12"/>
    </row>
    <row r="31" spans="2:47">
      <c r="Y31" s="12"/>
    </row>
    <row r="32" spans="2:47">
      <c r="Y32" s="12"/>
    </row>
    <row r="33" spans="25:25">
      <c r="Y33" s="12"/>
    </row>
    <row r="34" spans="25:25">
      <c r="Y34" s="12"/>
    </row>
    <row r="35" spans="25:25">
      <c r="Y35" s="12"/>
    </row>
    <row r="36" spans="25:25">
      <c r="Y36" s="12"/>
    </row>
    <row r="37" spans="25:25">
      <c r="Y37" s="12"/>
    </row>
    <row r="38" spans="25:25">
      <c r="Y38" s="12"/>
    </row>
    <row r="39" spans="25:25">
      <c r="Y39" s="12"/>
    </row>
    <row r="40" spans="25:25">
      <c r="Y40" s="12"/>
    </row>
    <row r="41" spans="25:25">
      <c r="Y41" s="12"/>
    </row>
    <row r="42" spans="25:25">
      <c r="Y42" s="12"/>
    </row>
    <row r="43" spans="25:25">
      <c r="Y43" s="12"/>
    </row>
    <row r="44" spans="25:25">
      <c r="Y44" s="12"/>
    </row>
    <row r="45" spans="25:25">
      <c r="Y45" s="12"/>
    </row>
    <row r="46" spans="25:25">
      <c r="Y46" s="12"/>
    </row>
    <row r="47" spans="25:25">
      <c r="Y47" s="12"/>
    </row>
    <row r="48" spans="25:25">
      <c r="Y48" s="12"/>
    </row>
    <row r="49" spans="25:25">
      <c r="Y49" s="12"/>
    </row>
    <row r="50" spans="25:25">
      <c r="Y50" s="12"/>
    </row>
    <row r="51" spans="25:25">
      <c r="Y51" s="12"/>
    </row>
    <row r="52" spans="25:25">
      <c r="Y52" s="12"/>
    </row>
    <row r="53" spans="25:25">
      <c r="Y53" s="12"/>
    </row>
    <row r="54" spans="25:25">
      <c r="Y54" s="12"/>
    </row>
    <row r="55" spans="25:25">
      <c r="Y55" s="12"/>
    </row>
    <row r="56" spans="25:25">
      <c r="Y56" s="12"/>
    </row>
    <row r="57" spans="25:25">
      <c r="Y57" s="12"/>
    </row>
    <row r="58" spans="25:25">
      <c r="Y58" s="12"/>
    </row>
    <row r="59" spans="25:25">
      <c r="Y59" s="12"/>
    </row>
    <row r="60" spans="25:25">
      <c r="Y60" s="12"/>
    </row>
    <row r="61" spans="25:25">
      <c r="Y61" s="12"/>
    </row>
    <row r="62" spans="25:25">
      <c r="Y62" s="12"/>
    </row>
    <row r="63" spans="25:25">
      <c r="Y63" s="12"/>
    </row>
    <row r="64" spans="25:25">
      <c r="Y64" s="12"/>
    </row>
    <row r="65" spans="25:25">
      <c r="Y65" s="12"/>
    </row>
    <row r="66" spans="25:25">
      <c r="Y66" s="12"/>
    </row>
    <row r="67" spans="25:25">
      <c r="Y67" s="12"/>
    </row>
    <row r="68" spans="25:25">
      <c r="Y68" s="12"/>
    </row>
    <row r="69" spans="25:25">
      <c r="Y69" s="12"/>
    </row>
    <row r="70" spans="25:25">
      <c r="Y70" s="12"/>
    </row>
    <row r="71" spans="25:25">
      <c r="Y71" s="12"/>
    </row>
    <row r="72" spans="25:25">
      <c r="Y72" s="12"/>
    </row>
    <row r="73" spans="25:25">
      <c r="Y73" s="12"/>
    </row>
    <row r="74" spans="25:25">
      <c r="Y74" s="12"/>
    </row>
    <row r="75" spans="25:25">
      <c r="Y75" s="12"/>
    </row>
    <row r="76" spans="25:25">
      <c r="Y76" s="12"/>
    </row>
    <row r="77" spans="25:25">
      <c r="Y77" s="12"/>
    </row>
    <row r="78" spans="25:25">
      <c r="Y78" s="12"/>
    </row>
  </sheetData>
  <pageMargins left="0.19685039370078741" right="0.15748031496062992" top="0.62992125984251968" bottom="0.78740157480314965" header="0.31496062992125984" footer="0.31496062992125984"/>
  <pageSetup paperSize="9" scale="79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4</vt:i4>
      </vt:variant>
    </vt:vector>
  </HeadingPairs>
  <TitlesOfParts>
    <vt:vector size="8" baseType="lpstr">
      <vt:lpstr>CoY</vt:lpstr>
      <vt:lpstr>CoM</vt:lpstr>
      <vt:lpstr>2014</vt:lpstr>
      <vt:lpstr>2015</vt:lpstr>
      <vt:lpstr>'2014'!Oblast_tisku</vt:lpstr>
      <vt:lpstr>'2015'!Oblast_tisku</vt:lpstr>
      <vt:lpstr>CoM!Oblast_tisku</vt:lpstr>
      <vt:lpstr>CoY!Oblast_tisku</vt:lpstr>
    </vt:vector>
  </TitlesOfParts>
  <Company>FNOL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64018</dc:creator>
  <cp:lastModifiedBy>ZH</cp:lastModifiedBy>
  <cp:lastPrinted>2014-12-09T07:22:27Z</cp:lastPrinted>
  <dcterms:created xsi:type="dcterms:W3CDTF">2014-10-14T11:21:48Z</dcterms:created>
  <dcterms:modified xsi:type="dcterms:W3CDTF">2015-09-18T10:46:37Z</dcterms:modified>
</cp:coreProperties>
</file>