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'2014'!$B$1:$AU$26</definedName>
    <definedName name="_xlnm.Print_Area" localSheetId="3">'2015'!$B$1:$AU$26</definedName>
  </definedNames>
  <calcPr calcId="125725"/>
</workbook>
</file>

<file path=xl/calcChain.xml><?xml version="1.0" encoding="utf-8"?>
<calcChain xmlns="http://schemas.openxmlformats.org/spreadsheetml/2006/main">
  <c r="D19" i="6"/>
  <c r="D18"/>
  <c r="J20" i="7"/>
  <c r="J6"/>
  <c r="J20" i="1" l="1"/>
  <c r="J6"/>
  <c r="J5"/>
  <c r="G5" i="6" s="1"/>
  <c r="E20"/>
  <c r="E19"/>
  <c r="E18"/>
  <c r="H20"/>
  <c r="H19"/>
  <c r="H18"/>
  <c r="G20"/>
  <c r="G19"/>
  <c r="G18"/>
  <c r="G12"/>
  <c r="G11"/>
  <c r="G8"/>
  <c r="G6"/>
  <c r="D20"/>
  <c r="D12"/>
  <c r="D11"/>
  <c r="D8"/>
  <c r="D6"/>
  <c r="D5" l="1"/>
  <c r="F4"/>
  <c r="I4"/>
  <c r="G20" i="7"/>
  <c r="G6"/>
  <c r="AP11"/>
  <c r="AS11" s="1"/>
  <c r="AS11" i="1"/>
  <c r="AP11"/>
  <c r="G20"/>
  <c r="G6"/>
  <c r="G5"/>
  <c r="D20" i="7"/>
  <c r="D6"/>
  <c r="D5"/>
  <c r="D20" i="1"/>
  <c r="D6"/>
  <c r="D5"/>
  <c r="D26" i="6" l="1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AM19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L9"/>
  <c r="AK9"/>
  <c r="AH9"/>
  <c r="AI9" s="1"/>
  <c r="AF9"/>
  <c r="AE9"/>
  <c r="AB9"/>
  <c r="AC9" s="1"/>
  <c r="Z9"/>
  <c r="Y9"/>
  <c r="V9"/>
  <c r="W9" s="1"/>
  <c r="T9"/>
  <c r="S9"/>
  <c r="P9"/>
  <c r="Q9" s="1"/>
  <c r="N9"/>
  <c r="M9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L7"/>
  <c r="AK7"/>
  <c r="AK16" s="1"/>
  <c r="AH7"/>
  <c r="AH16" s="1"/>
  <c r="AF7"/>
  <c r="AE7"/>
  <c r="AE16" s="1"/>
  <c r="AB7"/>
  <c r="AB16" s="1"/>
  <c r="Z7"/>
  <c r="Y7"/>
  <c r="Y16" s="1"/>
  <c r="V7"/>
  <c r="V16" s="1"/>
  <c r="T7"/>
  <c r="S7"/>
  <c r="S16" s="1"/>
  <c r="P7"/>
  <c r="P16" s="1"/>
  <c r="N7"/>
  <c r="M7"/>
  <c r="M16" s="1"/>
  <c r="J7"/>
  <c r="G7"/>
  <c r="G16" s="1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H5"/>
  <c r="F5"/>
  <c r="F9" s="1"/>
  <c r="E5"/>
  <c r="AR4"/>
  <c r="AU4" s="1"/>
  <c r="I9" l="1"/>
  <c r="J16"/>
  <c r="D7" i="6"/>
  <c r="H7" i="7"/>
  <c r="AR6"/>
  <c r="F4" i="5"/>
  <c r="AR18" i="7"/>
  <c r="E18" i="5"/>
  <c r="D18"/>
  <c r="AP22" i="7"/>
  <c r="AP24"/>
  <c r="E20" i="5"/>
  <c r="E19"/>
  <c r="D19"/>
  <c r="D20"/>
  <c r="D11"/>
  <c r="D6"/>
  <c r="AP26" i="7"/>
  <c r="D5" i="5"/>
  <c r="AT24" i="7"/>
  <c r="AT21"/>
  <c r="AT23" s="1"/>
  <c r="AT22"/>
  <c r="AU11"/>
  <c r="AR5"/>
  <c r="AQ6"/>
  <c r="AS6"/>
  <c r="AU6" s="1"/>
  <c r="F7"/>
  <c r="L7"/>
  <c r="R7"/>
  <c r="X7"/>
  <c r="AD7"/>
  <c r="AJ7"/>
  <c r="AP7"/>
  <c r="AQ8"/>
  <c r="AS8"/>
  <c r="AP9"/>
  <c r="AR11"/>
  <c r="AR12"/>
  <c r="AS18"/>
  <c r="AU18" s="1"/>
  <c r="AS19"/>
  <c r="AS20"/>
  <c r="AQ21"/>
  <c r="AQ22"/>
  <c r="AQ23"/>
  <c r="AQ24"/>
  <c r="AQ5"/>
  <c r="AS5"/>
  <c r="E7"/>
  <c r="I7"/>
  <c r="K7"/>
  <c r="O7"/>
  <c r="Q7"/>
  <c r="U7"/>
  <c r="W7"/>
  <c r="AA7"/>
  <c r="AC7"/>
  <c r="AG7"/>
  <c r="AI7"/>
  <c r="AM7"/>
  <c r="AR8"/>
  <c r="AS12"/>
  <c r="AP13"/>
  <c r="AP15"/>
  <c r="AR19"/>
  <c r="AR20"/>
  <c r="AP21"/>
  <c r="AP23" s="1"/>
  <c r="AQ20" i="1"/>
  <c r="AP20"/>
  <c r="AQ19"/>
  <c r="AP19"/>
  <c r="AQ18"/>
  <c r="AP18"/>
  <c r="AP12"/>
  <c r="AP8"/>
  <c r="AR4"/>
  <c r="AP6"/>
  <c r="AP5"/>
  <c r="E24"/>
  <c r="E22"/>
  <c r="D22"/>
  <c r="E21"/>
  <c r="E23" s="1"/>
  <c r="F20"/>
  <c r="F19"/>
  <c r="F18"/>
  <c r="D15"/>
  <c r="D14"/>
  <c r="D13"/>
  <c r="F12"/>
  <c r="F11"/>
  <c r="F8"/>
  <c r="E8"/>
  <c r="D7"/>
  <c r="E6"/>
  <c r="D9"/>
  <c r="E9" s="1"/>
  <c r="F5"/>
  <c r="E5"/>
  <c r="H24"/>
  <c r="H22"/>
  <c r="G22"/>
  <c r="H21"/>
  <c r="H23" s="1"/>
  <c r="I20"/>
  <c r="I19"/>
  <c r="I18"/>
  <c r="G15"/>
  <c r="G14"/>
  <c r="G13"/>
  <c r="I12"/>
  <c r="I11"/>
  <c r="I8"/>
  <c r="H8"/>
  <c r="G7"/>
  <c r="G16" s="1"/>
  <c r="H6"/>
  <c r="G9"/>
  <c r="H9" s="1"/>
  <c r="I5"/>
  <c r="H5"/>
  <c r="K24"/>
  <c r="K22"/>
  <c r="J22"/>
  <c r="K21"/>
  <c r="K23" s="1"/>
  <c r="L20"/>
  <c r="J24"/>
  <c r="L19"/>
  <c r="L18"/>
  <c r="J15"/>
  <c r="J14"/>
  <c r="J13"/>
  <c r="L12"/>
  <c r="L11"/>
  <c r="L8"/>
  <c r="K8"/>
  <c r="J9"/>
  <c r="K9" s="1"/>
  <c r="L5"/>
  <c r="K5"/>
  <c r="N24"/>
  <c r="N22"/>
  <c r="M22"/>
  <c r="N21"/>
  <c r="N23" s="1"/>
  <c r="O20"/>
  <c r="O19"/>
  <c r="O18"/>
  <c r="M15"/>
  <c r="M14"/>
  <c r="M13"/>
  <c r="O12"/>
  <c r="O11"/>
  <c r="O8"/>
  <c r="N8"/>
  <c r="M7"/>
  <c r="M16" s="1"/>
  <c r="N6"/>
  <c r="M9"/>
  <c r="N9" s="1"/>
  <c r="O5"/>
  <c r="N5"/>
  <c r="Q24"/>
  <c r="Q22"/>
  <c r="P22"/>
  <c r="Q21"/>
  <c r="Q23" s="1"/>
  <c r="R20"/>
  <c r="R19"/>
  <c r="R18"/>
  <c r="P15"/>
  <c r="P14"/>
  <c r="P13"/>
  <c r="R12"/>
  <c r="R11"/>
  <c r="R8"/>
  <c r="Q8"/>
  <c r="P7"/>
  <c r="P16" s="1"/>
  <c r="Q6"/>
  <c r="P9"/>
  <c r="Q9" s="1"/>
  <c r="R5"/>
  <c r="Q5"/>
  <c r="T24"/>
  <c r="T22"/>
  <c r="S22"/>
  <c r="T21"/>
  <c r="T23" s="1"/>
  <c r="U20"/>
  <c r="U19"/>
  <c r="U18"/>
  <c r="S15"/>
  <c r="S14"/>
  <c r="S13"/>
  <c r="U12"/>
  <c r="U11"/>
  <c r="U8"/>
  <c r="T8"/>
  <c r="S7"/>
  <c r="S16" s="1"/>
  <c r="T6"/>
  <c r="S9"/>
  <c r="T9" s="1"/>
  <c r="U5"/>
  <c r="T5"/>
  <c r="X20"/>
  <c r="X19"/>
  <c r="X18"/>
  <c r="V22"/>
  <c r="V24"/>
  <c r="V15"/>
  <c r="V14"/>
  <c r="V13"/>
  <c r="V7"/>
  <c r="V16" s="1"/>
  <c r="V26"/>
  <c r="AA20"/>
  <c r="AA19"/>
  <c r="AA18"/>
  <c r="Z8"/>
  <c r="Z6"/>
  <c r="Z5"/>
  <c r="Y22"/>
  <c r="Y24"/>
  <c r="Y15"/>
  <c r="Y14"/>
  <c r="Y13"/>
  <c r="Y7"/>
  <c r="Y16" s="1"/>
  <c r="Y26"/>
  <c r="W8"/>
  <c r="W7"/>
  <c r="W6"/>
  <c r="W5"/>
  <c r="AL24"/>
  <c r="AL22"/>
  <c r="AL21"/>
  <c r="AL23" s="1"/>
  <c r="D16" l="1"/>
  <c r="AS22" i="7"/>
  <c r="AU19"/>
  <c r="AS9"/>
  <c r="AQ9"/>
  <c r="AR9"/>
  <c r="AR7"/>
  <c r="AS15"/>
  <c r="AS13"/>
  <c r="AU12"/>
  <c r="AS14"/>
  <c r="AU5"/>
  <c r="AS24"/>
  <c r="AS21"/>
  <c r="AS23" s="1"/>
  <c r="AU20"/>
  <c r="AU8"/>
  <c r="AS26"/>
  <c r="AS7"/>
  <c r="AS16" s="1"/>
  <c r="AQ7"/>
  <c r="AP16"/>
  <c r="Z7" i="1"/>
  <c r="D21"/>
  <c r="D23" s="1"/>
  <c r="D24"/>
  <c r="D26"/>
  <c r="F6"/>
  <c r="F7" s="1"/>
  <c r="E7"/>
  <c r="G21"/>
  <c r="G23" s="1"/>
  <c r="G24"/>
  <c r="G26"/>
  <c r="I6"/>
  <c r="I7" s="1"/>
  <c r="H7"/>
  <c r="K6"/>
  <c r="J7"/>
  <c r="G7" i="6" s="1"/>
  <c r="J21" i="1"/>
  <c r="J23" s="1"/>
  <c r="J26"/>
  <c r="L6"/>
  <c r="L7" s="1"/>
  <c r="M21"/>
  <c r="M23" s="1"/>
  <c r="M24"/>
  <c r="M26"/>
  <c r="O6"/>
  <c r="O7" s="1"/>
  <c r="N7"/>
  <c r="P21"/>
  <c r="P23" s="1"/>
  <c r="P24"/>
  <c r="P26"/>
  <c r="R6"/>
  <c r="R7" s="1"/>
  <c r="Q7"/>
  <c r="S21"/>
  <c r="S23" s="1"/>
  <c r="S24"/>
  <c r="S26"/>
  <c r="U6"/>
  <c r="U7" s="1"/>
  <c r="T7"/>
  <c r="V9"/>
  <c r="W9" s="1"/>
  <c r="V21"/>
  <c r="V23" s="1"/>
  <c r="Y9"/>
  <c r="Z9" s="1"/>
  <c r="Y21"/>
  <c r="Y23" s="1"/>
  <c r="AK24"/>
  <c r="AK22"/>
  <c r="AK21"/>
  <c r="AK23" s="1"/>
  <c r="AM20"/>
  <c r="AM19"/>
  <c r="AM18"/>
  <c r="AM12"/>
  <c r="AM11"/>
  <c r="AM6"/>
  <c r="AM5"/>
  <c r="AU9" i="7" l="1"/>
  <c r="AU7"/>
  <c r="AM7" i="1"/>
  <c r="F9"/>
  <c r="I9"/>
  <c r="J16"/>
  <c r="K7"/>
  <c r="L9"/>
  <c r="O9"/>
  <c r="R9"/>
  <c r="U9"/>
  <c r="AK15"/>
  <c r="AK14"/>
  <c r="AK13"/>
  <c r="AL6"/>
  <c r="AL5"/>
  <c r="AK7"/>
  <c r="AJ20"/>
  <c r="AI6"/>
  <c r="AI8"/>
  <c r="AI5"/>
  <c r="AI24"/>
  <c r="AI22"/>
  <c r="AH22"/>
  <c r="AI21"/>
  <c r="AI23" s="1"/>
  <c r="AH24"/>
  <c r="AJ19"/>
  <c r="AJ18"/>
  <c r="AH15"/>
  <c r="AH14"/>
  <c r="AJ12"/>
  <c r="AJ11"/>
  <c r="AJ8"/>
  <c r="AH26"/>
  <c r="AH13"/>
  <c r="AK26" l="1"/>
  <c r="AM8"/>
  <c r="AM9" s="1"/>
  <c r="AK9"/>
  <c r="AL9" s="1"/>
  <c r="AL8"/>
  <c r="AK16"/>
  <c r="AL7"/>
  <c r="AJ6"/>
  <c r="AH9"/>
  <c r="AI9" s="1"/>
  <c r="AJ5"/>
  <c r="AH7"/>
  <c r="AI7" s="1"/>
  <c r="AH21"/>
  <c r="AH23" s="1"/>
  <c r="AE24"/>
  <c r="AF8"/>
  <c r="AF6"/>
  <c r="AF24"/>
  <c r="AF22"/>
  <c r="AE22"/>
  <c r="AF21"/>
  <c r="AF23" s="1"/>
  <c r="AG20"/>
  <c r="AG19"/>
  <c r="AG18"/>
  <c r="AE15"/>
  <c r="AE13"/>
  <c r="AG12"/>
  <c r="AG11"/>
  <c r="AG8"/>
  <c r="AE9"/>
  <c r="AF9" s="1"/>
  <c r="AG5"/>
  <c r="AH16" l="1"/>
  <c r="AJ9"/>
  <c r="AJ7"/>
  <c r="AE14"/>
  <c r="AF5"/>
  <c r="AE7"/>
  <c r="AF7" s="1"/>
  <c r="AE21"/>
  <c r="AE23" s="1"/>
  <c r="AE26"/>
  <c r="AG6"/>
  <c r="AG7" s="1"/>
  <c r="AE16" l="1"/>
  <c r="AG9"/>
  <c r="AC22"/>
  <c r="Z22"/>
  <c r="W22"/>
  <c r="I4" i="5"/>
  <c r="AD20" i="1"/>
  <c r="AD19"/>
  <c r="AD18"/>
  <c r="AD12"/>
  <c r="AD11"/>
  <c r="AD8"/>
  <c r="AD6"/>
  <c r="AD5"/>
  <c r="X12"/>
  <c r="X11"/>
  <c r="X8"/>
  <c r="X6"/>
  <c r="X5"/>
  <c r="AC24"/>
  <c r="AB24"/>
  <c r="Z24"/>
  <c r="W24"/>
  <c r="AA12"/>
  <c r="AA11"/>
  <c r="AA8"/>
  <c r="AA6"/>
  <c r="AA5"/>
  <c r="AD9" l="1"/>
  <c r="X9"/>
  <c r="AA9"/>
  <c r="AU4"/>
  <c r="AD7"/>
  <c r="X7"/>
  <c r="AA7"/>
  <c r="H22" i="6" l="1"/>
  <c r="I19"/>
  <c r="I18"/>
  <c r="I12"/>
  <c r="I11"/>
  <c r="I8"/>
  <c r="I6"/>
  <c r="I5"/>
  <c r="F19"/>
  <c r="F18"/>
  <c r="F11"/>
  <c r="F12"/>
  <c r="F8"/>
  <c r="F5"/>
  <c r="AR6" i="1"/>
  <c r="AC8"/>
  <c r="AC6"/>
  <c r="AC5"/>
  <c r="AR11"/>
  <c r="AB22"/>
  <c r="AC21"/>
  <c r="AC23" s="1"/>
  <c r="AB15"/>
  <c r="AB14"/>
  <c r="AB13"/>
  <c r="AB9"/>
  <c r="G11" i="5"/>
  <c r="I11" s="1"/>
  <c r="AU11" i="1"/>
  <c r="H18" i="5"/>
  <c r="AR8" i="1"/>
  <c r="W21"/>
  <c r="W23" s="1"/>
  <c r="AC9" l="1"/>
  <c r="AP9"/>
  <c r="AQ22"/>
  <c r="G5" i="5"/>
  <c r="I5" s="1"/>
  <c r="AR5" i="1"/>
  <c r="AS18"/>
  <c r="AU18" s="1"/>
  <c r="AR18"/>
  <c r="H20" i="5"/>
  <c r="H24" s="1"/>
  <c r="AQ24" i="1"/>
  <c r="G12" i="5"/>
  <c r="I12" s="1"/>
  <c r="AR12" i="1"/>
  <c r="G19" i="5"/>
  <c r="I19" s="1"/>
  <c r="AR19" i="1"/>
  <c r="F12" i="5"/>
  <c r="F8"/>
  <c r="F20"/>
  <c r="F11"/>
  <c r="L11" s="1"/>
  <c r="L5" i="6"/>
  <c r="I9"/>
  <c r="I7"/>
  <c r="H24"/>
  <c r="E22"/>
  <c r="L8"/>
  <c r="L12"/>
  <c r="L19"/>
  <c r="F20"/>
  <c r="D24"/>
  <c r="E24"/>
  <c r="G24"/>
  <c r="I20"/>
  <c r="L20" s="1"/>
  <c r="L11"/>
  <c r="L18"/>
  <c r="F6"/>
  <c r="F9" s="1"/>
  <c r="E7"/>
  <c r="E21" i="5"/>
  <c r="AB26" i="1"/>
  <c r="AB21"/>
  <c r="AB23" s="1"/>
  <c r="AB7"/>
  <c r="AP7" s="1"/>
  <c r="D15" i="5"/>
  <c r="E24"/>
  <c r="F18"/>
  <c r="F19"/>
  <c r="F6"/>
  <c r="D14" i="6"/>
  <c r="J18"/>
  <c r="J11" i="5"/>
  <c r="E6" i="6"/>
  <c r="D22"/>
  <c r="AQ21" i="1"/>
  <c r="AQ23" s="1"/>
  <c r="K11" i="5"/>
  <c r="AS6" i="1"/>
  <c r="AU6" s="1"/>
  <c r="AQ6"/>
  <c r="G6" i="5"/>
  <c r="I6" s="1"/>
  <c r="G14"/>
  <c r="AS8" i="1"/>
  <c r="AU8" s="1"/>
  <c r="AP26"/>
  <c r="AQ8"/>
  <c r="G8" i="5"/>
  <c r="I8" s="1"/>
  <c r="L8" s="1"/>
  <c r="K12"/>
  <c r="J12"/>
  <c r="AQ5" i="1"/>
  <c r="AP13"/>
  <c r="AP15"/>
  <c r="AP22"/>
  <c r="AS5"/>
  <c r="AS12"/>
  <c r="AU12" s="1"/>
  <c r="AS19"/>
  <c r="AT19"/>
  <c r="G18" i="5"/>
  <c r="H19"/>
  <c r="H21" s="1"/>
  <c r="AP14" i="1"/>
  <c r="AT18"/>
  <c r="AT20"/>
  <c r="H21" i="6"/>
  <c r="H23" s="1"/>
  <c r="E21"/>
  <c r="E23" s="1"/>
  <c r="J19"/>
  <c r="J11"/>
  <c r="E5"/>
  <c r="E8"/>
  <c r="K11"/>
  <c r="K18"/>
  <c r="K19"/>
  <c r="G22"/>
  <c r="D9"/>
  <c r="E9" s="1"/>
  <c r="D13"/>
  <c r="D15"/>
  <c r="D21"/>
  <c r="H5" i="5"/>
  <c r="G13"/>
  <c r="G15"/>
  <c r="Z21" i="1"/>
  <c r="Z23" s="1"/>
  <c r="G21" i="6"/>
  <c r="G23" s="1"/>
  <c r="J12"/>
  <c r="K5"/>
  <c r="L12" i="5" l="1"/>
  <c r="K19"/>
  <c r="L19"/>
  <c r="AT24" i="1"/>
  <c r="AS22"/>
  <c r="AU19"/>
  <c r="AS14"/>
  <c r="AU5"/>
  <c r="AP24"/>
  <c r="AR20"/>
  <c r="AR9"/>
  <c r="AR7"/>
  <c r="AT22"/>
  <c r="L6" i="6"/>
  <c r="L6" i="5"/>
  <c r="G22"/>
  <c r="I18"/>
  <c r="L18" s="1"/>
  <c r="D13"/>
  <c r="J13" s="1"/>
  <c r="F5"/>
  <c r="J24" i="6"/>
  <c r="K24"/>
  <c r="D24" i="5"/>
  <c r="L9" i="6"/>
  <c r="I9" i="5"/>
  <c r="I7"/>
  <c r="F7" i="6"/>
  <c r="L7" s="1"/>
  <c r="J5" i="5"/>
  <c r="AC7" i="1"/>
  <c r="D7" i="5"/>
  <c r="E8"/>
  <c r="E6"/>
  <c r="K5"/>
  <c r="D22"/>
  <c r="J19"/>
  <c r="AB16" i="1"/>
  <c r="K6" i="5"/>
  <c r="D21"/>
  <c r="D23" s="1"/>
  <c r="D9"/>
  <c r="E9" s="1"/>
  <c r="D26"/>
  <c r="D14"/>
  <c r="K14" s="1"/>
  <c r="E5"/>
  <c r="K20" i="6"/>
  <c r="L21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G26"/>
  <c r="H8"/>
  <c r="J22" l="1"/>
  <c r="AS21" i="1"/>
  <c r="AS23" s="1"/>
  <c r="AS24"/>
  <c r="AU20"/>
  <c r="AU7"/>
  <c r="AU9"/>
  <c r="K22" i="5"/>
  <c r="G24"/>
  <c r="I20"/>
  <c r="L20" s="1"/>
  <c r="F7"/>
  <c r="L7" s="1"/>
  <c r="F9"/>
  <c r="L9" s="1"/>
  <c r="L5"/>
  <c r="K7"/>
  <c r="K14" i="6"/>
  <c r="E7" i="5"/>
  <c r="D16"/>
  <c r="K15" i="6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26" l="1"/>
  <c r="J26"/>
  <c r="K16"/>
  <c r="J16"/>
  <c r="H9"/>
  <c r="J9"/>
  <c r="K9"/>
</calcChain>
</file>

<file path=xl/sharedStrings.xml><?xml version="1.0" encoding="utf-8"?>
<sst xmlns="http://schemas.openxmlformats.org/spreadsheetml/2006/main" count="326" uniqueCount="65">
  <si>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</si>
  <si>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</si>
  <si>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</si>
  <si>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</si>
  <si>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</si>
  <si>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</si>
  <si>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</si>
  <si>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</si>
  <si>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</si>
  <si>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</si>
  <si>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</si>
  <si>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</si>
  <si>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</si>
  <si>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</si>
  <si>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</si>
  <si>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</si>
  <si>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</si>
  <si>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</si>
  <si>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</si>
  <si>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</si>
  <si>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</si>
  <si>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</si>
  <si>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doprava osobní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</si>
  <si>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</si>
  <si>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</si>
  <si>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</si>
  <si>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</si>
  <si>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</si>
  <si>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</si>
  <si>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</si>
  <si>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</si>
  <si>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</si>
  <si>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</si>
  <si>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</si>
  <si>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BOD ZLOMU 9403</t>
  </si>
  <si>
    <t>PHM v litrech</t>
  </si>
  <si>
    <t>Průměrné ON na osobu</t>
  </si>
  <si>
    <t>počet</t>
  </si>
  <si>
    <t>vozů</t>
  </si>
  <si>
    <t>PHM Kč/km</t>
  </si>
  <si>
    <t>VOZY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</si>
  <si>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</si>
  <si>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</si>
  <si>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</si>
  <si>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</si>
  <si>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</si>
  <si>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</si>
  <si>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</si>
  <si>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</si>
  <si>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</si>
  <si>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</si>
  <si>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</si>
  <si>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</si>
  <si>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</si>
  <si>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</si>
  <si>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</si>
  <si>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</si>
  <si>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</si>
  <si>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</si>
  <si>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</si>
  <si>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</si>
  <si>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</si>
  <si>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</si>
  <si>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1 - 3 2014</t>
  </si>
  <si>
    <t xml:space="preserve"> 1 - 3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</si>
</sst>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0" fontId="15" fillId="0" borderId="0" xfId="0" applyFont="1"/>
    <xf numFmtId="3" fontId="22" fillId="0" borderId="0" xfId="0" applyNumberFormat="1" applyFont="1" applyAlignment="1"/>
    <xf numFmtId="3" fontId="24" fillId="0" borderId="0" xfId="0" applyNumberFormat="1" applyFont="1"/>
    <xf numFmtId="166" fontId="25" fillId="0" borderId="0" xfId="0" applyNumberFormat="1" applyFont="1" applyAlignment="1"/>
    <xf numFmtId="4" fontId="21" fillId="0" borderId="0" xfId="0" applyNumberFormat="1" applyFont="1"/>
    <xf numFmtId="4" fontId="25" fillId="0" borderId="0" xfId="0" applyNumberFormat="1" applyFont="1"/>
    <xf numFmtId="0" fontId="26" fillId="0" borderId="0" xfId="0" applyFont="1"/>
    <xf numFmtId="164" fontId="21" fillId="0" borderId="0" xfId="0" applyNumberFormat="1" applyFont="1" applyBorder="1"/>
    <xf numFmtId="164" fontId="22" fillId="0" borderId="0" xfId="0" applyNumberFormat="1" applyFont="1" applyBorder="1"/>
    <xf numFmtId="164" fontId="15" fillId="0" borderId="0" xfId="0" applyNumberFormat="1" applyFont="1"/>
    <xf numFmtId="3" fontId="22" fillId="0" borderId="0" xfId="0" applyNumberFormat="1" applyFont="1"/>
    <xf numFmtId="166" fontId="21" fillId="0" borderId="0" xfId="0" applyNumberFormat="1" applyFont="1" applyBorder="1" applyAlignment="1"/>
    <xf numFmtId="2" fontId="21" fillId="0" borderId="0" xfId="0" applyNumberFormat="1" applyFont="1" applyBorder="1"/>
    <xf numFmtId="4" fontId="25" fillId="0" borderId="0" xfId="0" applyNumberFormat="1" applyFont="1" applyBorder="1"/>
    <xf numFmtId="3" fontId="27" fillId="0" borderId="0" xfId="0" applyNumberFormat="1" applyFont="1" applyBorder="1"/>
    <xf numFmtId="0" fontId="15" fillId="0" borderId="0" xfId="0" applyFont="1" applyBorder="1"/>
    <xf numFmtId="0" fontId="26" fillId="0" borderId="0" xfId="0" applyFont="1" applyBorder="1"/>
    <xf numFmtId="166" fontId="21" fillId="0" borderId="0" xfId="0" applyNumberFormat="1" applyFont="1" applyAlignment="1"/>
    <xf numFmtId="2" fontId="21" fillId="0" borderId="0" xfId="0" applyNumberFormat="1" applyFont="1"/>
    <xf numFmtId="164" fontId="28" fillId="0" borderId="1" xfId="1" applyNumberFormat="1" applyFont="1" applyBorder="1"/>
    <xf numFmtId="165" fontId="21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0" fontId="15" fillId="0" borderId="1" xfId="0" applyFont="1" applyBorder="1"/>
    <xf numFmtId="164" fontId="28" fillId="0" borderId="0" xfId="1" applyNumberFormat="1" applyFont="1" applyBorder="1"/>
    <xf numFmtId="167" fontId="21" fillId="0" borderId="0" xfId="0" applyNumberFormat="1" applyFont="1"/>
    <xf numFmtId="3" fontId="21" fillId="0" borderId="0" xfId="0" applyNumberFormat="1" applyFont="1"/>
    <xf numFmtId="3" fontId="15" fillId="0" borderId="0" xfId="0" applyNumberFormat="1" applyFont="1"/>
    <xf numFmtId="3" fontId="21" fillId="0" borderId="0" xfId="0" applyNumberFormat="1" applyFont="1" applyAlignment="1"/>
    <xf numFmtId="0" fontId="0" fillId="0" borderId="0" xfId="0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22" fillId="0" borderId="0" xfId="0" applyNumberFormat="1" applyFont="1" applyFill="1"/>
    <xf numFmtId="166" fontId="21" fillId="0" borderId="0" xfId="0" applyNumberFormat="1" applyFont="1" applyFill="1" applyAlignment="1"/>
    <xf numFmtId="4" fontId="9" fillId="0" borderId="0" xfId="0" applyNumberFormat="1" applyFont="1" applyFill="1"/>
    <xf numFmtId="4" fontId="11" fillId="0" borderId="0" xfId="0" applyNumberFormat="1" applyFont="1" applyFill="1"/>
    <xf numFmtId="1" fontId="3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2" fillId="0" borderId="0" xfId="0" applyNumberFormat="1" applyFont="1" applyFill="1" applyAlignment="1"/>
    <xf numFmtId="3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/>
  <cols>
    <col min="1" max="1" width="1.7109375" hidden="1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4" t="s">
        <v>26</v>
      </c>
      <c r="F3" s="3" t="s">
        <v>38</v>
      </c>
      <c r="G3" s="4" t="s">
        <v>64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88">
        <f>+'2014'!AR4</f>
        <v>14</v>
      </c>
      <c r="G4" s="23" t="s">
        <v>27</v>
      </c>
      <c r="H4" s="3" t="s">
        <v>28</v>
      </c>
      <c r="I4" s="94">
        <f>+'2015'!AR4</f>
        <v>12</v>
      </c>
      <c r="J4" s="26"/>
    </row>
    <row r="5" spans="2:21">
      <c r="B5" s="10" t="s">
        <v>3</v>
      </c>
      <c r="C5" s="17"/>
      <c r="D5" s="8">
        <f>+'2014'!AP5</f>
        <v>271.11399999999998</v>
      </c>
      <c r="E5" s="54">
        <f>+D5/$D$5</f>
        <v>1</v>
      </c>
      <c r="F5" s="84">
        <f>+D5/F4</f>
        <v>19.365285714285712</v>
      </c>
      <c r="G5" s="13">
        <f>+'2015'!AP5</f>
        <v>313.00434999999999</v>
      </c>
      <c r="H5" s="54">
        <f>+G5/$G$5</f>
        <v>1</v>
      </c>
      <c r="I5" s="84">
        <f>+G5/I4</f>
        <v>26.083695833333334</v>
      </c>
      <c r="J5" s="76">
        <f t="shared" ref="J5:J24" si="0">+G5/D5</f>
        <v>1.1545119396268728</v>
      </c>
      <c r="K5" s="77">
        <f>+G5-D5</f>
        <v>41.890350000000012</v>
      </c>
      <c r="L5" s="77">
        <f>+I5-F5</f>
        <v>6.718410119047622</v>
      </c>
      <c r="M5" s="57"/>
    </row>
    <row r="6" spans="2:21">
      <c r="B6" s="7" t="s">
        <v>4</v>
      </c>
      <c r="C6" s="17"/>
      <c r="D6" s="11">
        <f>+'2014'!AP6</f>
        <v>215.68594000000002</v>
      </c>
      <c r="E6" s="55">
        <f>+D6/$D$5</f>
        <v>0.79555441622343381</v>
      </c>
      <c r="F6" s="67">
        <f>+D6/F4</f>
        <v>15.406138571428572</v>
      </c>
      <c r="G6" s="14">
        <f>+'2015'!AP6</f>
        <v>145.20498000000001</v>
      </c>
      <c r="H6" s="55">
        <f>+G6/$G$5</f>
        <v>0.46390722684844482</v>
      </c>
      <c r="I6" s="67">
        <f>+G6/I4</f>
        <v>12.100415</v>
      </c>
      <c r="J6" s="78">
        <f t="shared" si="0"/>
        <v>0.67322413320033747</v>
      </c>
      <c r="K6" s="79">
        <f>+G6-D6</f>
        <v>-70.48096000000001</v>
      </c>
      <c r="L6" s="79">
        <f>+I6-F6</f>
        <v>-3.3057235714285724</v>
      </c>
      <c r="M6" s="57"/>
    </row>
    <row r="7" spans="2:21">
      <c r="B7" s="10" t="s">
        <v>7</v>
      </c>
      <c r="C7" s="17"/>
      <c r="D7" s="8">
        <f>+D5-D6</f>
        <v>55.428059999999959</v>
      </c>
      <c r="E7" s="56">
        <f>+D7/$D$5</f>
        <v>0.20444558377656619</v>
      </c>
      <c r="F7" s="86">
        <f>+F5-F6</f>
        <v>3.9591471428571392</v>
      </c>
      <c r="G7" s="8">
        <f>+G5-G6</f>
        <v>167.79936999999998</v>
      </c>
      <c r="H7" s="56">
        <f>+G7/$G$5</f>
        <v>0.53609277315155524</v>
      </c>
      <c r="I7" s="86">
        <f>+I5-I6</f>
        <v>13.983280833333334</v>
      </c>
      <c r="J7" s="80">
        <f t="shared" si="0"/>
        <v>3.0273361542871986</v>
      </c>
      <c r="K7" s="77">
        <f>+G7-D7</f>
        <v>112.37131000000002</v>
      </c>
      <c r="L7" s="77">
        <f>+I7-F7</f>
        <v>10.024133690476194</v>
      </c>
      <c r="M7" s="57"/>
    </row>
    <row r="8" spans="2:21">
      <c r="B8" s="7" t="s">
        <v>5</v>
      </c>
      <c r="C8" s="17"/>
      <c r="D8" s="11">
        <f>+'2014'!AP8</f>
        <v>689.30255</v>
      </c>
      <c r="E8" s="55">
        <f>+D8/$D$5</f>
        <v>2.5424823137130508</v>
      </c>
      <c r="F8" s="67">
        <f>+D8/F4</f>
        <v>49.235896428571429</v>
      </c>
      <c r="G8" s="14">
        <f>+'2015'!AP8</f>
        <v>607.38414999999998</v>
      </c>
      <c r="H8" s="55">
        <f>+G8/$G$5</f>
        <v>1.9404974723194741</v>
      </c>
      <c r="I8" s="67">
        <f>+G8/I4</f>
        <v>50.615345833333329</v>
      </c>
      <c r="J8" s="78">
        <f t="shared" si="0"/>
        <v>0.88115755556105224</v>
      </c>
      <c r="K8" s="79">
        <f>+G8-D8</f>
        <v>-81.91840000000002</v>
      </c>
      <c r="L8" s="79">
        <f>+I8-F8</f>
        <v>1.3794494047618997</v>
      </c>
      <c r="M8" s="57"/>
    </row>
    <row r="9" spans="2:21">
      <c r="B9" s="19" t="s">
        <v>14</v>
      </c>
      <c r="C9" s="17"/>
      <c r="D9" s="15">
        <f>+D5-D6-D8</f>
        <v>-633.87449000000004</v>
      </c>
      <c r="E9" s="54">
        <f>+D9/$D$5</f>
        <v>-2.3380367299364848</v>
      </c>
      <c r="F9" s="15">
        <f>+F5-F6-F8</f>
        <v>-45.276749285714288</v>
      </c>
      <c r="G9" s="15">
        <f>+G5-G6-G8</f>
        <v>-439.58478000000002</v>
      </c>
      <c r="H9" s="54">
        <f>+G9/$G$5</f>
        <v>-1.4044046991679191</v>
      </c>
      <c r="I9" s="15">
        <f>+I5-I6-I8</f>
        <v>-36.632064999999997</v>
      </c>
      <c r="J9" s="80">
        <f t="shared" si="0"/>
        <v>0.69348867470593434</v>
      </c>
      <c r="K9" s="77">
        <f>+G9-D9</f>
        <v>194.28971000000001</v>
      </c>
      <c r="L9" s="77">
        <f>+I9-F9</f>
        <v>8.6446842857142911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+'2014'!AP11</f>
        <v>9</v>
      </c>
      <c r="E11" s="57"/>
      <c r="F11" s="67">
        <f>+D11/F4</f>
        <v>0.6428571428571429</v>
      </c>
      <c r="G11" s="29">
        <f>+'2015'!AP11</f>
        <v>8</v>
      </c>
      <c r="H11" s="57"/>
      <c r="I11" s="67">
        <f>+G11/I4</f>
        <v>0.66666666666666663</v>
      </c>
      <c r="J11" s="78">
        <f t="shared" si="0"/>
        <v>0.88888888888888884</v>
      </c>
      <c r="K11" s="79">
        <f t="shared" ref="K11:K16" si="1">+G11-D11</f>
        <v>-1</v>
      </c>
      <c r="L11" s="79">
        <f>+I11-F11</f>
        <v>2.3809523809523725E-2</v>
      </c>
      <c r="M11" s="57"/>
    </row>
    <row r="12" spans="2:21">
      <c r="B12" s="18" t="s">
        <v>15</v>
      </c>
      <c r="C12" s="17"/>
      <c r="D12" s="33">
        <f>+'2014'!AP12</f>
        <v>417.798</v>
      </c>
      <c r="E12" s="57"/>
      <c r="F12" s="67">
        <f>+D12/F4</f>
        <v>29.842714285714287</v>
      </c>
      <c r="G12" s="14">
        <f>+'2015'!AP12</f>
        <v>316.50636999999995</v>
      </c>
      <c r="H12" s="57"/>
      <c r="I12" s="67">
        <f>+G12/I4</f>
        <v>26.375530833333329</v>
      </c>
      <c r="J12" s="78">
        <f t="shared" si="0"/>
        <v>0.75755836552592393</v>
      </c>
      <c r="K12" s="79">
        <f t="shared" si="1"/>
        <v>-101.29163000000005</v>
      </c>
      <c r="L12" s="79">
        <f>+I12-F12</f>
        <v>-3.4671834523809579</v>
      </c>
      <c r="M12" s="57"/>
    </row>
    <row r="13" spans="2:21">
      <c r="B13" s="19" t="s">
        <v>20</v>
      </c>
      <c r="C13" s="17"/>
      <c r="D13" s="34">
        <f>+D12/D5</f>
        <v>1.5410417757843566</v>
      </c>
      <c r="E13" s="57"/>
      <c r="F13" s="34"/>
      <c r="G13" s="34">
        <f>+G12/G5</f>
        <v>1.0111884068064867</v>
      </c>
      <c r="H13" s="57"/>
      <c r="I13" s="34"/>
      <c r="J13" s="76">
        <f t="shared" si="0"/>
        <v>0.65617196282158796</v>
      </c>
      <c r="K13" s="54">
        <f t="shared" si="1"/>
        <v>-0.52985336897786994</v>
      </c>
      <c r="L13" s="57"/>
      <c r="M13" s="57"/>
    </row>
    <row r="14" spans="2:21">
      <c r="B14" s="19" t="s">
        <v>16</v>
      </c>
      <c r="C14" s="17"/>
      <c r="D14" s="8">
        <f>+D5/D11</f>
        <v>30.123777777777775</v>
      </c>
      <c r="E14" s="57"/>
      <c r="F14" s="8"/>
      <c r="G14" s="8">
        <f>+G5/G11</f>
        <v>39.125543749999999</v>
      </c>
      <c r="H14" s="57"/>
      <c r="I14" s="8"/>
      <c r="J14" s="76">
        <f t="shared" si="0"/>
        <v>1.298825932080232</v>
      </c>
      <c r="K14" s="77">
        <f t="shared" si="1"/>
        <v>9.0017659722222234</v>
      </c>
      <c r="L14" s="57"/>
      <c r="M14" s="57"/>
    </row>
    <row r="15" spans="2:21">
      <c r="B15" s="10" t="s">
        <v>36</v>
      </c>
      <c r="C15" s="17"/>
      <c r="D15" s="8">
        <f>+D12/D11</f>
        <v>46.421999999999997</v>
      </c>
      <c r="E15" s="57"/>
      <c r="F15" s="8"/>
      <c r="G15" s="8">
        <f>+G12/G11</f>
        <v>39.563296249999993</v>
      </c>
      <c r="H15" s="57"/>
      <c r="I15" s="8"/>
      <c r="J15" s="76">
        <f t="shared" si="0"/>
        <v>0.85225316121666439</v>
      </c>
      <c r="K15" s="77">
        <f t="shared" si="1"/>
        <v>-6.8587037500000037</v>
      </c>
      <c r="L15" s="57"/>
      <c r="M15" s="57"/>
    </row>
    <row r="16" spans="2:21">
      <c r="B16" s="19" t="s">
        <v>21</v>
      </c>
      <c r="C16" s="17"/>
      <c r="D16" s="34">
        <f>+D12/D7</f>
        <v>7.5376623320390488</v>
      </c>
      <c r="E16" s="57"/>
      <c r="F16" s="34"/>
      <c r="G16" s="34">
        <f>+G12/G7</f>
        <v>1.8862190602980213</v>
      </c>
      <c r="H16" s="57"/>
      <c r="I16" s="34"/>
      <c r="J16" s="76">
        <f t="shared" si="0"/>
        <v>0.25023926214903436</v>
      </c>
      <c r="K16" s="54">
        <f t="shared" si="1"/>
        <v>-5.6514432717410275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+'2014'!AP18</f>
        <v>40798</v>
      </c>
      <c r="E18" s="58">
        <f>+'2014'!AQ18</f>
        <v>40798</v>
      </c>
      <c r="F18" s="67">
        <f>+D18/F4</f>
        <v>2914.1428571428573</v>
      </c>
      <c r="G18" s="14">
        <f>+'2015'!AP18</f>
        <v>20220</v>
      </c>
      <c r="H18" s="67">
        <f>+'2015'!AQ18</f>
        <v>20220</v>
      </c>
      <c r="I18" s="67">
        <f>+G18/I4</f>
        <v>1685</v>
      </c>
      <c r="J18" s="78">
        <f t="shared" si="0"/>
        <v>0.49561253002598166</v>
      </c>
      <c r="K18" s="79">
        <f t="shared" ref="K18:K24" si="2">+G18-D18</f>
        <v>-20578</v>
      </c>
      <c r="L18" s="79">
        <f>+I18-F18</f>
        <v>-1229.1428571428573</v>
      </c>
      <c r="M18" s="57"/>
    </row>
    <row r="19" spans="2:13">
      <c r="B19" s="18" t="s">
        <v>17</v>
      </c>
      <c r="C19" s="17"/>
      <c r="D19" s="11">
        <f>+'2014'!AP19</f>
        <v>2575.2799999999997</v>
      </c>
      <c r="E19" s="59">
        <f>+'2014'!AQ19</f>
        <v>2575.2799999999997</v>
      </c>
      <c r="F19" s="67">
        <f>+D19/F4</f>
        <v>183.9485714285714</v>
      </c>
      <c r="G19" s="14">
        <f>+'2015'!AP19</f>
        <v>1490.17</v>
      </c>
      <c r="H19" s="67">
        <f>+'2015'!AQ19</f>
        <v>1490.17</v>
      </c>
      <c r="I19" s="67">
        <f>+G19/I4</f>
        <v>124.18083333333334</v>
      </c>
      <c r="J19" s="78">
        <f t="shared" si="0"/>
        <v>0.57864387561740871</v>
      </c>
      <c r="K19" s="79">
        <f t="shared" si="2"/>
        <v>-1085.1099999999997</v>
      </c>
      <c r="L19" s="79">
        <f>+I19-F19</f>
        <v>-59.767738095238059</v>
      </c>
      <c r="M19" s="57"/>
    </row>
    <row r="20" spans="2:13">
      <c r="B20" s="18" t="s">
        <v>29</v>
      </c>
      <c r="C20" s="17"/>
      <c r="D20" s="11">
        <f>+'2014'!AP20</f>
        <v>103.11703</v>
      </c>
      <c r="E20" s="59">
        <f>+'2014'!AQ20</f>
        <v>95.231430000000003</v>
      </c>
      <c r="F20" s="67">
        <f>+D20/F4</f>
        <v>7.3655021428571432</v>
      </c>
      <c r="G20" s="14">
        <f>+'2015'!AP20</f>
        <v>71.675629999999984</v>
      </c>
      <c r="H20" s="67">
        <f>+'2015'!AQ20</f>
        <v>45.710509999999999</v>
      </c>
      <c r="I20" s="67">
        <f>+G20/I4</f>
        <v>5.9729691666666653</v>
      </c>
      <c r="J20" s="78">
        <f t="shared" si="0"/>
        <v>0.6950901320567513</v>
      </c>
      <c r="K20" s="79">
        <f t="shared" si="2"/>
        <v>-31.441400000000016</v>
      </c>
      <c r="L20" s="79">
        <f>+I20-F20</f>
        <v>-1.3925329761904779</v>
      </c>
      <c r="M20" s="57"/>
    </row>
    <row r="21" spans="2:13">
      <c r="B21" s="19" t="s">
        <v>19</v>
      </c>
      <c r="C21" s="17"/>
      <c r="D21" s="44">
        <f>+D20/D19*1000</f>
        <v>40.041094560591475</v>
      </c>
      <c r="E21" s="60">
        <f>+E20/E19*1000</f>
        <v>36.979058587804047</v>
      </c>
      <c r="F21" s="60"/>
      <c r="G21" s="44">
        <f>+G20/G19*1000</f>
        <v>48.098961863411546</v>
      </c>
      <c r="H21" s="74">
        <f>+H20/H19*1000</f>
        <v>30.674694833475375</v>
      </c>
      <c r="I21" s="74"/>
      <c r="J21" s="76">
        <f t="shared" si="0"/>
        <v>1.2012399359020181</v>
      </c>
      <c r="K21" s="77">
        <f t="shared" si="2"/>
        <v>8.0578673028200711</v>
      </c>
      <c r="L21" s="82">
        <f>+H21/E21</f>
        <v>0.82951529879108665</v>
      </c>
      <c r="M21" s="83">
        <f>+H21-E21</f>
        <v>-6.3043637543286728</v>
      </c>
    </row>
    <row r="22" spans="2:13">
      <c r="B22" s="19" t="s">
        <v>23</v>
      </c>
      <c r="C22" s="17"/>
      <c r="D22" s="46">
        <f>+D19/D18</f>
        <v>6.3122702093239863E-2</v>
      </c>
      <c r="E22" s="61"/>
      <c r="F22" s="61"/>
      <c r="G22" s="53">
        <f>+G19/G18</f>
        <v>7.3697823936696341E-2</v>
      </c>
      <c r="H22" s="75"/>
      <c r="I22" s="75"/>
      <c r="J22" s="76">
        <f t="shared" si="0"/>
        <v>1.1675327812778951</v>
      </c>
      <c r="K22" s="77">
        <f t="shared" si="2"/>
        <v>1.0575121843456478E-2</v>
      </c>
      <c r="L22" s="57"/>
      <c r="M22" s="57"/>
    </row>
    <row r="23" spans="2:13">
      <c r="B23" s="10" t="s">
        <v>30</v>
      </c>
      <c r="C23" s="10"/>
      <c r="D23" s="48">
        <f>+D20*1000/(D18*D21)*100</f>
        <v>6.3122702093239846</v>
      </c>
      <c r="E23" s="62"/>
      <c r="F23" s="62"/>
      <c r="G23" s="48">
        <f>+G20/(G18*G21)*1000*100</f>
        <v>7.3697823936696345</v>
      </c>
      <c r="H23" s="62"/>
      <c r="I23" s="62"/>
      <c r="J23" s="76">
        <f t="shared" si="0"/>
        <v>1.1675327812778953</v>
      </c>
      <c r="K23" s="77">
        <f t="shared" si="2"/>
        <v>1.0575121843456499</v>
      </c>
      <c r="L23" s="57"/>
      <c r="M23" s="57"/>
    </row>
    <row r="24" spans="2:13">
      <c r="B24" s="19" t="s">
        <v>39</v>
      </c>
      <c r="C24" s="10"/>
      <c r="D24" s="48">
        <f>+D20/D18*1000</f>
        <v>2.5275020834354627</v>
      </c>
      <c r="E24" s="48">
        <f>+E20/E18*1000</f>
        <v>2.3342180989264181</v>
      </c>
      <c r="F24" s="62"/>
      <c r="G24" s="48">
        <f>+G20/G18*1000</f>
        <v>3.5447888229475759</v>
      </c>
      <c r="H24" s="48">
        <f>+H20/H18*1000</f>
        <v>2.2606582591493569</v>
      </c>
      <c r="I24" s="62"/>
      <c r="J24" s="76">
        <f t="shared" si="0"/>
        <v>1.4024870033457635</v>
      </c>
      <c r="K24" s="77">
        <f t="shared" si="2"/>
        <v>1.0172867395121132</v>
      </c>
      <c r="L24" s="57"/>
      <c r="M24" s="57"/>
    </row>
    <row r="25" spans="2:13" ht="7.5" customHeight="1">
      <c r="B25" s="17"/>
      <c r="E25" s="63"/>
      <c r="F25" s="63"/>
      <c r="G25" s="12"/>
      <c r="H25" s="63"/>
      <c r="I25" s="63"/>
      <c r="J25" s="81"/>
      <c r="K25" s="57"/>
      <c r="L25" s="63"/>
      <c r="M25" s="63"/>
    </row>
    <row r="26" spans="2:13">
      <c r="B26" s="21" t="s">
        <v>34</v>
      </c>
      <c r="C26" s="20"/>
      <c r="D26" s="22">
        <f>+D8/(1-D6/D5)</f>
        <v>3371.5697706306178</v>
      </c>
      <c r="E26" s="63"/>
      <c r="F26" s="63"/>
      <c r="G26" s="22">
        <f>+G8/(1-G6/G5)</f>
        <v>1132.9832827802184</v>
      </c>
      <c r="H26" s="63"/>
      <c r="I26" s="63"/>
      <c r="J26" s="37">
        <f>+G26/D26</f>
        <v>0.33604028979305545</v>
      </c>
      <c r="K26" s="22">
        <f>+G26-D26</f>
        <v>-2238.5864878503994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2755905511811023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5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57</v>
      </c>
      <c r="E3" s="24" t="s">
        <v>26</v>
      </c>
      <c r="F3" s="3" t="s">
        <v>38</v>
      </c>
      <c r="G3" s="4" t="s">
        <v>52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3">
        <f>+'2014'!I4</f>
        <v>14</v>
      </c>
      <c r="G4" s="23" t="s">
        <v>27</v>
      </c>
      <c r="H4" s="3" t="s">
        <v>28</v>
      </c>
      <c r="I4" s="3">
        <f>+'2015'!I4</f>
        <v>12</v>
      </c>
      <c r="J4" s="26"/>
    </row>
    <row r="5" spans="2:21">
      <c r="B5" s="10" t="s">
        <v>3</v>
      </c>
      <c r="C5" s="17"/>
      <c r="D5" s="8">
        <f>+'2014'!J5</f>
        <v>125.899</v>
      </c>
      <c r="E5" s="54">
        <f>+D5/$D$5</f>
        <v>1</v>
      </c>
      <c r="F5" s="84">
        <f>+D5/F4</f>
        <v>8.9927857142857146</v>
      </c>
      <c r="G5" s="13">
        <f>+'2015'!J5</f>
        <v>116.94799999999999</v>
      </c>
      <c r="H5" s="54">
        <f>+G5/$G$5</f>
        <v>1</v>
      </c>
      <c r="I5" s="84">
        <f>+G5/I4</f>
        <v>9.7456666666666667</v>
      </c>
      <c r="J5" s="76">
        <f t="shared" ref="J5:J24" si="0">+G5/D5</f>
        <v>0.92890332727027214</v>
      </c>
      <c r="K5" s="77">
        <f>+G5-D5</f>
        <v>-8.9510000000000076</v>
      </c>
      <c r="L5" s="77">
        <f>+I5-F5</f>
        <v>0.7528809523809521</v>
      </c>
      <c r="M5" s="57"/>
    </row>
    <row r="6" spans="2:21">
      <c r="B6" s="7" t="s">
        <v>4</v>
      </c>
      <c r="C6" s="17"/>
      <c r="D6" s="11">
        <f>+'2014'!J6</f>
        <v>108.36955</v>
      </c>
      <c r="E6" s="55">
        <f>+D6/$D$5</f>
        <v>0.86076577256372178</v>
      </c>
      <c r="F6" s="67">
        <f>+D6/F4</f>
        <v>7.7406821428571435</v>
      </c>
      <c r="G6" s="14">
        <f>+'2015'!J6</f>
        <v>55.076259999999998</v>
      </c>
      <c r="H6" s="55">
        <f>+G6/$G$5</f>
        <v>0.47094657454595207</v>
      </c>
      <c r="I6" s="67">
        <f>+G6/I4</f>
        <v>4.5896883333333331</v>
      </c>
      <c r="J6" s="78">
        <f t="shared" si="0"/>
        <v>0.50822634217822249</v>
      </c>
      <c r="K6" s="79">
        <f>+G6-D6</f>
        <v>-53.293290000000006</v>
      </c>
      <c r="L6" s="79">
        <f>+I6-F6</f>
        <v>-3.1509938095238104</v>
      </c>
      <c r="M6" s="57"/>
    </row>
    <row r="7" spans="2:21">
      <c r="B7" s="10" t="s">
        <v>7</v>
      </c>
      <c r="C7" s="17"/>
      <c r="D7" s="9">
        <f>+'2014'!J7</f>
        <v>17.529449999999997</v>
      </c>
      <c r="E7" s="56">
        <f>+D7/$D$5</f>
        <v>0.13923422743627825</v>
      </c>
      <c r="F7" s="86">
        <f>+F5-F6</f>
        <v>1.2521035714285711</v>
      </c>
      <c r="G7" s="8">
        <f>+'2015'!J7</f>
        <v>61.871739999999996</v>
      </c>
      <c r="H7" s="56">
        <f>+G7/$G$5</f>
        <v>0.52905342545404799</v>
      </c>
      <c r="I7" s="86">
        <f>+I5-I6</f>
        <v>5.1559783333333336</v>
      </c>
      <c r="J7" s="80">
        <f t="shared" si="0"/>
        <v>3.529588207274045</v>
      </c>
      <c r="K7" s="77">
        <f>+G7-D7</f>
        <v>44.342289999999998</v>
      </c>
      <c r="L7" s="77">
        <f>+I7-F7</f>
        <v>3.9038747619047625</v>
      </c>
      <c r="M7" s="57"/>
    </row>
    <row r="8" spans="2:21">
      <c r="B8" s="7" t="s">
        <v>5</v>
      </c>
      <c r="C8" s="17"/>
      <c r="D8" s="11">
        <f>+'2014'!J8</f>
        <v>220.10655</v>
      </c>
      <c r="E8" s="55">
        <f>+D8/$D$5</f>
        <v>1.748278779021279</v>
      </c>
      <c r="F8" s="67">
        <f>+D8/F4</f>
        <v>15.721896428571428</v>
      </c>
      <c r="G8" s="14">
        <f>+'2015'!J8</f>
        <v>198.96776</v>
      </c>
      <c r="H8" s="55">
        <f>+G8/$G$5</f>
        <v>1.7013352943188427</v>
      </c>
      <c r="I8" s="67">
        <f>+G8/I4</f>
        <v>16.580646666666667</v>
      </c>
      <c r="J8" s="78">
        <f t="shared" si="0"/>
        <v>0.90396110429244381</v>
      </c>
      <c r="K8" s="79">
        <f>+G8-D8</f>
        <v>-21.13879</v>
      </c>
      <c r="L8" s="79">
        <f>+I8-F8</f>
        <v>0.85875023809523832</v>
      </c>
      <c r="M8" s="57"/>
    </row>
    <row r="9" spans="2:21">
      <c r="B9" s="19" t="s">
        <v>14</v>
      </c>
      <c r="C9" s="17"/>
      <c r="D9" s="15">
        <f>+D5-D6-D8</f>
        <v>-202.5771</v>
      </c>
      <c r="E9" s="54">
        <f>+D9/$D$5</f>
        <v>-1.6090445515850007</v>
      </c>
      <c r="F9" s="15">
        <f>+F5-F6-F8</f>
        <v>-14.469792857142856</v>
      </c>
      <c r="G9" s="15">
        <f>+G5-G6-G8</f>
        <v>-137.09602000000001</v>
      </c>
      <c r="H9" s="54">
        <f>+G9/$G$5</f>
        <v>-1.1722818688647947</v>
      </c>
      <c r="I9" s="15">
        <f>+I5-I6-I8</f>
        <v>-11.424668333333333</v>
      </c>
      <c r="J9" s="80">
        <f t="shared" si="0"/>
        <v>0.6767597127217243</v>
      </c>
      <c r="K9" s="77">
        <f>+G9-D9</f>
        <v>65.481079999999992</v>
      </c>
      <c r="L9" s="77">
        <f>+I9-F9</f>
        <v>3.0451245238095233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+'2014'!J11</f>
        <v>3</v>
      </c>
      <c r="E11" s="57"/>
      <c r="F11" s="67">
        <f>+D11/F4</f>
        <v>0.21428571428571427</v>
      </c>
      <c r="G11" s="29">
        <f>+'2015'!J11</f>
        <v>3</v>
      </c>
      <c r="H11" s="57"/>
      <c r="I11" s="67">
        <f>+G11/I4</f>
        <v>0.25</v>
      </c>
      <c r="J11" s="78">
        <f t="shared" si="0"/>
        <v>1</v>
      </c>
      <c r="K11" s="79">
        <f t="shared" ref="K11:K16" si="1">+G11-D11</f>
        <v>0</v>
      </c>
      <c r="L11" s="79">
        <f>+I11-F11</f>
        <v>3.5714285714285726E-2</v>
      </c>
      <c r="M11" s="57"/>
    </row>
    <row r="12" spans="2:21">
      <c r="B12" s="18" t="s">
        <v>15</v>
      </c>
      <c r="C12" s="17"/>
      <c r="D12" s="33">
        <f>+'2014'!J12</f>
        <v>141.626</v>
      </c>
      <c r="E12" s="57"/>
      <c r="F12" s="67">
        <f>+D12/F4</f>
        <v>10.116142857142858</v>
      </c>
      <c r="G12" s="14">
        <f>+'2015'!J12</f>
        <v>112.25511</v>
      </c>
      <c r="H12" s="57"/>
      <c r="I12" s="67">
        <f>+G12/I4</f>
        <v>9.3545925000000008</v>
      </c>
      <c r="J12" s="78">
        <f t="shared" si="0"/>
        <v>0.79261653933599763</v>
      </c>
      <c r="K12" s="79">
        <f t="shared" si="1"/>
        <v>-29.370890000000003</v>
      </c>
      <c r="L12" s="79">
        <f>+I12-F12</f>
        <v>-0.76155035714285724</v>
      </c>
      <c r="M12" s="57"/>
    </row>
    <row r="13" spans="2:21">
      <c r="B13" s="19" t="s">
        <v>20</v>
      </c>
      <c r="C13" s="17"/>
      <c r="D13" s="34">
        <f>+D12/D5</f>
        <v>1.1249175926734922</v>
      </c>
      <c r="E13" s="57"/>
      <c r="F13" s="34"/>
      <c r="G13" s="34">
        <f>+G12/G5</f>
        <v>0.95987199439066939</v>
      </c>
      <c r="H13" s="57"/>
      <c r="I13" s="34"/>
      <c r="J13" s="76">
        <f t="shared" si="0"/>
        <v>0.85328205429646309</v>
      </c>
      <c r="K13" s="54">
        <f t="shared" si="1"/>
        <v>-0.16504559828282284</v>
      </c>
      <c r="L13" s="57"/>
      <c r="M13" s="57"/>
    </row>
    <row r="14" spans="2:21">
      <c r="B14" s="19" t="s">
        <v>16</v>
      </c>
      <c r="C14" s="17"/>
      <c r="D14" s="8">
        <f>+D5/D11</f>
        <v>41.966333333333331</v>
      </c>
      <c r="E14" s="57"/>
      <c r="F14" s="8"/>
      <c r="G14" s="8">
        <f>+G5/G11</f>
        <v>38.982666666666667</v>
      </c>
      <c r="H14" s="57"/>
      <c r="I14" s="8"/>
      <c r="J14" s="76">
        <f t="shared" si="0"/>
        <v>0.92890332727027225</v>
      </c>
      <c r="K14" s="77">
        <f t="shared" si="1"/>
        <v>-2.9836666666666645</v>
      </c>
      <c r="L14" s="57"/>
      <c r="M14" s="57"/>
    </row>
    <row r="15" spans="2:21">
      <c r="B15" s="10" t="s">
        <v>36</v>
      </c>
      <c r="C15" s="17"/>
      <c r="D15" s="8">
        <f>+D12/D11</f>
        <v>47.208666666666666</v>
      </c>
      <c r="E15" s="57"/>
      <c r="F15" s="8"/>
      <c r="G15" s="8">
        <f>+G12/G11</f>
        <v>37.418370000000003</v>
      </c>
      <c r="H15" s="57"/>
      <c r="I15" s="8"/>
      <c r="J15" s="76">
        <f t="shared" si="0"/>
        <v>0.79261653933599774</v>
      </c>
      <c r="K15" s="77">
        <f t="shared" si="1"/>
        <v>-9.7902966666666629</v>
      </c>
      <c r="L15" s="57"/>
      <c r="M15" s="57"/>
    </row>
    <row r="16" spans="2:21">
      <c r="B16" s="19" t="s">
        <v>21</v>
      </c>
      <c r="C16" s="17"/>
      <c r="D16" s="34">
        <f>+D12/D7</f>
        <v>8.0793179477964241</v>
      </c>
      <c r="E16" s="57"/>
      <c r="F16" s="34"/>
      <c r="G16" s="34">
        <f>+G12/G7</f>
        <v>1.8143195908180376</v>
      </c>
      <c r="H16" s="57"/>
      <c r="I16" s="34"/>
      <c r="J16" s="76">
        <f t="shared" si="0"/>
        <v>0.22456345975502551</v>
      </c>
      <c r="K16" s="54">
        <f t="shared" si="1"/>
        <v>-6.2649983569783867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+'2014'!J18</f>
        <v>14413</v>
      </c>
      <c r="E18" s="58">
        <f>+'2014'!K18</f>
        <v>14413</v>
      </c>
      <c r="F18" s="67">
        <f>+D18/F4</f>
        <v>1029.5</v>
      </c>
      <c r="G18" s="14">
        <f>+'2015'!J18</f>
        <v>6219</v>
      </c>
      <c r="H18" s="90">
        <f>+'2015'!K18</f>
        <v>6219</v>
      </c>
      <c r="I18" s="67">
        <f>+G18/I4</f>
        <v>518.25</v>
      </c>
      <c r="J18" s="78">
        <f t="shared" si="0"/>
        <v>0.43148546451120517</v>
      </c>
      <c r="K18" s="79">
        <f t="shared" ref="K18:K24" si="2">+G18-D18</f>
        <v>-8194</v>
      </c>
      <c r="L18" s="79">
        <f>+I18-F18</f>
        <v>-511.25</v>
      </c>
      <c r="M18" s="57"/>
    </row>
    <row r="19" spans="2:13">
      <c r="B19" s="18" t="s">
        <v>17</v>
      </c>
      <c r="C19" s="17"/>
      <c r="D19" s="11">
        <f>+'2014'!J19</f>
        <v>965.3</v>
      </c>
      <c r="E19" s="58">
        <f>+'2014'!K19</f>
        <v>965.3</v>
      </c>
      <c r="F19" s="67">
        <f>+D19/F4</f>
        <v>68.95</v>
      </c>
      <c r="G19" s="14">
        <f>+'2015'!J19</f>
        <v>506.26</v>
      </c>
      <c r="H19" s="90">
        <f>+'2015'!K19</f>
        <v>506.26</v>
      </c>
      <c r="I19" s="67">
        <f>+G19/I4</f>
        <v>42.188333333333333</v>
      </c>
      <c r="J19" s="78">
        <f t="shared" si="0"/>
        <v>0.52445871749715112</v>
      </c>
      <c r="K19" s="79">
        <f t="shared" si="2"/>
        <v>-459.03999999999996</v>
      </c>
      <c r="L19" s="79">
        <f>+I19-F19</f>
        <v>-26.76166666666667</v>
      </c>
      <c r="M19" s="57"/>
    </row>
    <row r="20" spans="2:13">
      <c r="B20" s="18" t="s">
        <v>29</v>
      </c>
      <c r="C20" s="17"/>
      <c r="D20" s="11">
        <f>+'2014'!J20</f>
        <v>34.921750000000003</v>
      </c>
      <c r="E20" s="58">
        <f>+'2014'!K20</f>
        <v>34.9392</v>
      </c>
      <c r="F20" s="67">
        <f>+D20/F4</f>
        <v>2.4944107142857144</v>
      </c>
      <c r="G20" s="14">
        <f>+'2015'!J20</f>
        <v>26.309939999999997</v>
      </c>
      <c r="H20" s="90">
        <f>+'2015'!K20</f>
        <v>15.557</v>
      </c>
      <c r="I20" s="67">
        <f>+G20/I4</f>
        <v>2.1924949999999996</v>
      </c>
      <c r="J20" s="78">
        <f t="shared" si="0"/>
        <v>0.75339695175642674</v>
      </c>
      <c r="K20" s="79">
        <f t="shared" si="2"/>
        <v>-8.6118100000000055</v>
      </c>
      <c r="L20" s="79">
        <f>+I20-F20</f>
        <v>-0.30191571428571473</v>
      </c>
      <c r="M20" s="57"/>
    </row>
    <row r="21" spans="2:13">
      <c r="B21" s="19" t="s">
        <v>19</v>
      </c>
      <c r="C21" s="17"/>
      <c r="D21" s="44">
        <f>+D20/D19*1000</f>
        <v>36.177095203563667</v>
      </c>
      <c r="E21" s="60">
        <f>+E20/E19*1000</f>
        <v>36.195172485237748</v>
      </c>
      <c r="F21" s="60"/>
      <c r="G21" s="44">
        <f>+G20/G19*1000</f>
        <v>51.969225299253345</v>
      </c>
      <c r="H21" s="91">
        <f>+H20/H19*1000</f>
        <v>30.729269545292933</v>
      </c>
      <c r="I21" s="60"/>
      <c r="J21" s="76">
        <f t="shared" si="0"/>
        <v>1.4365228884969752</v>
      </c>
      <c r="K21" s="77">
        <f t="shared" si="2"/>
        <v>15.792130095689679</v>
      </c>
      <c r="L21" s="82">
        <f>+H21/E21</f>
        <v>0.84898806761663892</v>
      </c>
      <c r="M21" s="83">
        <f>+H21-E21</f>
        <v>-5.4659029399448151</v>
      </c>
    </row>
    <row r="22" spans="2:13">
      <c r="B22" s="19" t="s">
        <v>23</v>
      </c>
      <c r="C22" s="17"/>
      <c r="D22" s="46">
        <f>+D19/D18</f>
        <v>6.6974259349198637E-2</v>
      </c>
      <c r="E22" s="46">
        <f>+E19/E18</f>
        <v>6.6974259349198637E-2</v>
      </c>
      <c r="F22" s="61"/>
      <c r="G22" s="53">
        <f>+G19/G18</f>
        <v>8.1405370638366295E-2</v>
      </c>
      <c r="H22" s="92">
        <f>+H19/H18</f>
        <v>8.1405370638366295E-2</v>
      </c>
      <c r="I22" s="61"/>
      <c r="J22" s="76">
        <f t="shared" si="0"/>
        <v>1.215472502860016</v>
      </c>
      <c r="K22" s="77">
        <f t="shared" si="2"/>
        <v>1.4431111289167659E-2</v>
      </c>
      <c r="L22" s="57"/>
      <c r="M22" s="57"/>
    </row>
    <row r="23" spans="2:13">
      <c r="B23" s="10" t="s">
        <v>30</v>
      </c>
      <c r="C23" s="10"/>
      <c r="D23" s="48">
        <f>+D20*1000/(D18*D21)*100</f>
        <v>6.6974259349198624</v>
      </c>
      <c r="E23" s="48">
        <f>+E20*1000/(E18*E21)*100</f>
        <v>6.6974259349198633</v>
      </c>
      <c r="F23" s="62"/>
      <c r="G23" s="48">
        <f>+G20/(G18*G21)*1000*100</f>
        <v>8.1405370638366303</v>
      </c>
      <c r="H23" s="93">
        <f>+H20*1000/(H18*H21)*100</f>
        <v>8.1405370638366303</v>
      </c>
      <c r="I23" s="62"/>
      <c r="J23" s="76">
        <f t="shared" si="0"/>
        <v>1.2154725028600164</v>
      </c>
      <c r="K23" s="77">
        <f t="shared" si="2"/>
        <v>1.443111128916768</v>
      </c>
      <c r="L23" s="57"/>
      <c r="M23" s="57"/>
    </row>
    <row r="24" spans="2:13">
      <c r="B24" s="19" t="s">
        <v>39</v>
      </c>
      <c r="C24" s="10"/>
      <c r="D24" s="48">
        <f>+D20/D18*1000</f>
        <v>2.4229341566641232</v>
      </c>
      <c r="E24" s="48">
        <f>+E20/E18*1000</f>
        <v>2.4241448692152918</v>
      </c>
      <c r="F24" s="62"/>
      <c r="G24" s="48">
        <f>+G20/G18*1000</f>
        <v>4.2305740472744811</v>
      </c>
      <c r="H24" s="93">
        <f>+H20/H18*1000</f>
        <v>2.5015275767808332</v>
      </c>
      <c r="I24" s="62"/>
      <c r="J24" s="76">
        <f t="shared" si="0"/>
        <v>1.7460540706971182</v>
      </c>
      <c r="K24" s="77">
        <f t="shared" si="2"/>
        <v>1.8076398906103579</v>
      </c>
      <c r="L24" s="57"/>
      <c r="M24" s="57"/>
    </row>
    <row r="25" spans="2:13" ht="7.5" customHeight="1">
      <c r="B25" s="17"/>
      <c r="C25" s="38"/>
      <c r="D25" s="38"/>
      <c r="E25" s="57"/>
      <c r="F25" s="62"/>
      <c r="G25" s="39"/>
      <c r="H25" s="57"/>
      <c r="I25" s="57"/>
      <c r="J25" s="81"/>
      <c r="K25" s="57"/>
      <c r="L25" s="57"/>
      <c r="M25" s="57"/>
    </row>
    <row r="26" spans="2:13">
      <c r="B26" s="21" t="s">
        <v>34</v>
      </c>
      <c r="C26" s="40"/>
      <c r="D26" s="22">
        <f>+D8/(1-D6/D5)</f>
        <v>1580.8365087581192</v>
      </c>
      <c r="E26" s="57"/>
      <c r="F26" s="57"/>
      <c r="G26" s="22">
        <f>+G8/(1-G6/G5)</f>
        <v>376.08254748419876</v>
      </c>
      <c r="H26" s="57"/>
      <c r="I26" s="57"/>
      <c r="J26" s="95">
        <f>IF(D26="---","---",+G26/D26)</f>
        <v>0.23790097546497291</v>
      </c>
      <c r="K26" s="89">
        <f>IF(D26="---","---",+G26-D26)</f>
        <v>-1204.7539612739204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7" right="0.17" top="0.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55</v>
      </c>
      <c r="E3" s="24" t="s">
        <v>26</v>
      </c>
      <c r="F3" s="3" t="s">
        <v>38</v>
      </c>
      <c r="G3" s="4" t="s">
        <v>56</v>
      </c>
      <c r="H3" s="24" t="s">
        <v>26</v>
      </c>
      <c r="I3" s="3" t="s">
        <v>38</v>
      </c>
      <c r="J3" s="4" t="s">
        <v>57</v>
      </c>
      <c r="K3" s="24" t="s">
        <v>26</v>
      </c>
      <c r="L3" s="3" t="s">
        <v>38</v>
      </c>
      <c r="M3" s="4" t="s">
        <v>58</v>
      </c>
      <c r="N3" s="24" t="s">
        <v>26</v>
      </c>
      <c r="O3" s="3" t="s">
        <v>38</v>
      </c>
      <c r="P3" s="4" t="s">
        <v>59</v>
      </c>
      <c r="Q3" s="24" t="s">
        <v>26</v>
      </c>
      <c r="R3" s="3" t="s">
        <v>38</v>
      </c>
      <c r="S3" s="4" t="s">
        <v>60</v>
      </c>
      <c r="T3" s="24" t="s">
        <v>26</v>
      </c>
      <c r="U3" s="3" t="s">
        <v>38</v>
      </c>
      <c r="V3" s="4" t="s">
        <v>42</v>
      </c>
      <c r="W3" s="24" t="s">
        <v>26</v>
      </c>
      <c r="X3" s="3" t="s">
        <v>38</v>
      </c>
      <c r="Y3" s="4" t="s">
        <v>41</v>
      </c>
      <c r="Z3" s="24" t="s">
        <v>26</v>
      </c>
      <c r="AA3" s="3" t="s">
        <v>38</v>
      </c>
      <c r="AB3" s="4" t="s">
        <v>6</v>
      </c>
      <c r="AC3" s="24" t="s">
        <v>26</v>
      </c>
      <c r="AD3" s="3" t="s">
        <v>38</v>
      </c>
      <c r="AE3" s="4" t="s">
        <v>8</v>
      </c>
      <c r="AF3" s="24" t="s">
        <v>26</v>
      </c>
      <c r="AG3" s="3" t="s">
        <v>38</v>
      </c>
      <c r="AH3" s="4" t="s">
        <v>9</v>
      </c>
      <c r="AI3" s="24" t="s">
        <v>26</v>
      </c>
      <c r="AJ3" s="3" t="s">
        <v>38</v>
      </c>
      <c r="AK3" s="4" t="s">
        <v>10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14</v>
      </c>
      <c r="G4" s="42"/>
      <c r="H4" s="3" t="s">
        <v>28</v>
      </c>
      <c r="I4" s="3">
        <v>14</v>
      </c>
      <c r="J4" s="42"/>
      <c r="K4" s="3" t="s">
        <v>28</v>
      </c>
      <c r="L4" s="3">
        <v>14</v>
      </c>
      <c r="M4" s="42"/>
      <c r="N4" s="3" t="s">
        <v>28</v>
      </c>
      <c r="O4" s="3">
        <v>0</v>
      </c>
      <c r="P4" s="42"/>
      <c r="Q4" s="3" t="s">
        <v>28</v>
      </c>
      <c r="R4" s="3">
        <v>0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14</v>
      </c>
      <c r="AS4" s="42">
        <v>3</v>
      </c>
      <c r="AT4" s="3" t="s">
        <v>28</v>
      </c>
      <c r="AU4" s="88">
        <f>+AR4</f>
        <v>14</v>
      </c>
    </row>
    <row r="5" spans="2:47">
      <c r="B5" s="10" t="s">
        <v>3</v>
      </c>
      <c r="C5" s="17"/>
      <c r="D5" s="9">
        <f>5+56.275</f>
        <v>61.274999999999999</v>
      </c>
      <c r="E5" s="54">
        <f>+D5/D5</f>
        <v>1</v>
      </c>
      <c r="F5" s="84">
        <f>+D5/F4</f>
        <v>4.3767857142857141</v>
      </c>
      <c r="G5" s="9">
        <v>83.94</v>
      </c>
      <c r="H5" s="54">
        <f>+G5/G5</f>
        <v>1</v>
      </c>
      <c r="I5" s="84">
        <f>+G5/I4</f>
        <v>5.9957142857142856</v>
      </c>
      <c r="J5" s="9">
        <v>125.899</v>
      </c>
      <c r="K5" s="54">
        <f>+J5/J5</f>
        <v>1</v>
      </c>
      <c r="L5" s="84">
        <f>+J5/L4</f>
        <v>8.9927857142857146</v>
      </c>
      <c r="M5" s="9">
        <v>0</v>
      </c>
      <c r="N5" s="54" t="e">
        <f>+M5/M5</f>
        <v>#DIV/0!</v>
      </c>
      <c r="O5" s="84" t="e">
        <f>+M5/O4</f>
        <v>#DIV/0!</v>
      </c>
      <c r="P5" s="9">
        <v>0</v>
      </c>
      <c r="Q5" s="54" t="e">
        <f>+P5/P5</f>
        <v>#DIV/0!</v>
      </c>
      <c r="R5" s="84" t="e">
        <f>+P5/R4</f>
        <v>#DIV/0!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271.11399999999998</v>
      </c>
      <c r="AQ5" s="64">
        <f>+AP5/$AP$5</f>
        <v>1</v>
      </c>
      <c r="AR5" s="84">
        <f>+AP5/AR4</f>
        <v>19.365285714285712</v>
      </c>
      <c r="AS5" s="31">
        <f>+AP5/$AS$4</f>
        <v>90.371333333333325</v>
      </c>
      <c r="AT5" s="57"/>
      <c r="AU5" s="84">
        <f>+AS5/AU4</f>
        <v>6.4550952380952378</v>
      </c>
    </row>
    <row r="6" spans="2:47">
      <c r="B6" s="7" t="s">
        <v>4</v>
      </c>
      <c r="C6" s="17"/>
      <c r="D6" s="11">
        <f>27.836+9.27922+16.538+2.818</f>
        <v>56.471220000000002</v>
      </c>
      <c r="E6" s="55">
        <f>+D6/D5</f>
        <v>0.92160293757649947</v>
      </c>
      <c r="F6" s="85">
        <f>+D6/F4</f>
        <v>4.033658571428572</v>
      </c>
      <c r="G6" s="11">
        <f>22.61143+8.4698+2.79894+16.965</f>
        <v>50.845169999999996</v>
      </c>
      <c r="H6" s="55">
        <f>+G6/G5</f>
        <v>0.60573230879199425</v>
      </c>
      <c r="I6" s="85">
        <f>+G6/I4</f>
        <v>3.6317978571428569</v>
      </c>
      <c r="J6" s="11">
        <f>26.63335+8.2884+0.6358+72.812</f>
        <v>108.36955</v>
      </c>
      <c r="K6" s="55">
        <f>+J6/J5</f>
        <v>0.86076577256372178</v>
      </c>
      <c r="L6" s="85">
        <f>+J6/L4</f>
        <v>7.7406821428571435</v>
      </c>
      <c r="M6" s="11">
        <v>0</v>
      </c>
      <c r="N6" s="55" t="e">
        <f>+M6/M5</f>
        <v>#DIV/0!</v>
      </c>
      <c r="O6" s="85" t="e">
        <f>+M6/O4</f>
        <v>#DIV/0!</v>
      </c>
      <c r="P6" s="11">
        <v>0</v>
      </c>
      <c r="Q6" s="55" t="e">
        <f>+P6/P5</f>
        <v>#DIV/0!</v>
      </c>
      <c r="R6" s="85" t="e">
        <f>+P6/R4</f>
        <v>#DIV/0!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215.68594000000002</v>
      </c>
      <c r="AQ6" s="65">
        <f>+AP6/$AP$5</f>
        <v>0.79555441622343381</v>
      </c>
      <c r="AR6" s="85">
        <f>+AP6/AR4</f>
        <v>15.406138571428572</v>
      </c>
      <c r="AS6" s="14">
        <f t="shared" ref="AS6:AS9" si="0">+AP6/$AS$4</f>
        <v>71.895313333333334</v>
      </c>
      <c r="AT6" s="57"/>
      <c r="AU6" s="85">
        <f>+AS6/AU4</f>
        <v>5.1353795238095241</v>
      </c>
    </row>
    <row r="7" spans="2:47">
      <c r="B7" s="10" t="s">
        <v>7</v>
      </c>
      <c r="C7" s="17"/>
      <c r="D7" s="8">
        <f>+D5-D6</f>
        <v>4.8037799999999962</v>
      </c>
      <c r="E7" s="56">
        <f>+D7/D5</f>
        <v>7.8397062423500558E-2</v>
      </c>
      <c r="F7" s="86">
        <f>+F5-F6</f>
        <v>0.34312714285714208</v>
      </c>
      <c r="G7" s="8">
        <f>+G5-G6</f>
        <v>33.094830000000002</v>
      </c>
      <c r="H7" s="56">
        <f>+G7/G5</f>
        <v>0.39426769120800575</v>
      </c>
      <c r="I7" s="86">
        <f>+I5-I6</f>
        <v>2.3639164285714287</v>
      </c>
      <c r="J7" s="8">
        <f>+J5-J6</f>
        <v>17.529449999999997</v>
      </c>
      <c r="K7" s="56">
        <f>+J7/J5</f>
        <v>0.13923422743627825</v>
      </c>
      <c r="L7" s="86">
        <f>+L5-L6</f>
        <v>1.2521035714285711</v>
      </c>
      <c r="M7" s="8">
        <f>+M5-M6</f>
        <v>0</v>
      </c>
      <c r="N7" s="56" t="e">
        <f>+M7/M5</f>
        <v>#DIV/0!</v>
      </c>
      <c r="O7" s="86" t="e">
        <f>+O5-O6</f>
        <v>#DIV/0!</v>
      </c>
      <c r="P7" s="8">
        <f>+P5-P6</f>
        <v>0</v>
      </c>
      <c r="Q7" s="56" t="e">
        <f>+P7/P5</f>
        <v>#DIV/0!</v>
      </c>
      <c r="R7" s="86" t="e">
        <f>+R5-R6</f>
        <v>#DIV/0!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55.428059999999995</v>
      </c>
      <c r="AQ7" s="65">
        <f>+AP7/$AP$5</f>
        <v>0.20444558377656633</v>
      </c>
      <c r="AR7" s="86">
        <f>+AR5-AR6</f>
        <v>3.9591471428571392</v>
      </c>
      <c r="AS7" s="13">
        <f t="shared" si="0"/>
        <v>18.476019999999998</v>
      </c>
      <c r="AT7" s="57"/>
      <c r="AU7" s="86">
        <f>+AU5-AU6</f>
        <v>1.3197157142857137</v>
      </c>
    </row>
    <row r="8" spans="2:47">
      <c r="B8" s="7" t="s">
        <v>5</v>
      </c>
      <c r="C8" s="17"/>
      <c r="D8" s="11">
        <v>260.30500000000001</v>
      </c>
      <c r="E8" s="55">
        <f>+D8/D5</f>
        <v>4.2481436148510818</v>
      </c>
      <c r="F8" s="85">
        <f>+D8/F4</f>
        <v>18.593214285714286</v>
      </c>
      <c r="G8" s="11">
        <v>208.89099999999999</v>
      </c>
      <c r="H8" s="55">
        <f>+G8/G5</f>
        <v>2.488575172742435</v>
      </c>
      <c r="I8" s="85">
        <f>+G8/I4</f>
        <v>14.920785714285714</v>
      </c>
      <c r="J8" s="11">
        <v>220.10655</v>
      </c>
      <c r="K8" s="55">
        <f>+J8/J5</f>
        <v>1.748278779021279</v>
      </c>
      <c r="L8" s="85">
        <f>+J8/L4</f>
        <v>15.721896428571428</v>
      </c>
      <c r="M8" s="11">
        <v>0</v>
      </c>
      <c r="N8" s="55" t="e">
        <f>+M8/M5</f>
        <v>#DIV/0!</v>
      </c>
      <c r="O8" s="85" t="e">
        <f>+M8/O4</f>
        <v>#DIV/0!</v>
      </c>
      <c r="P8" s="11">
        <v>0</v>
      </c>
      <c r="Q8" s="55" t="e">
        <f>+P8/P5</f>
        <v>#DIV/0!</v>
      </c>
      <c r="R8" s="85" t="e">
        <f>+P8/R4</f>
        <v>#DIV/0!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689.30255</v>
      </c>
      <c r="AQ8" s="65">
        <f>+AP8/$AP$5</f>
        <v>2.5424823137130508</v>
      </c>
      <c r="AR8" s="67">
        <f>+AP8/AR4</f>
        <v>49.235896428571429</v>
      </c>
      <c r="AS8" s="14">
        <f t="shared" si="0"/>
        <v>229.76751666666667</v>
      </c>
      <c r="AT8" s="57"/>
      <c r="AU8" s="85">
        <f>+AS8/AU4</f>
        <v>16.411965476190478</v>
      </c>
    </row>
    <row r="9" spans="2:47">
      <c r="B9" s="19" t="s">
        <v>14</v>
      </c>
      <c r="C9" s="17"/>
      <c r="D9" s="15">
        <f>+D5-D6-D8</f>
        <v>-255.50122000000002</v>
      </c>
      <c r="E9" s="54">
        <f>+D9/D5</f>
        <v>-4.169746552427581</v>
      </c>
      <c r="F9" s="15">
        <f>+F5-F6-F8</f>
        <v>-18.250087142857144</v>
      </c>
      <c r="G9" s="15">
        <f>+G5-G6-G8</f>
        <v>-175.79616999999999</v>
      </c>
      <c r="H9" s="54">
        <f>+G9/G5</f>
        <v>-2.0943074815344294</v>
      </c>
      <c r="I9" s="15">
        <f>+I5-I6-I8</f>
        <v>-12.556869285714285</v>
      </c>
      <c r="J9" s="15">
        <f>+J5-J6-J8</f>
        <v>-202.5771</v>
      </c>
      <c r="K9" s="54">
        <f>+J9/J5</f>
        <v>-1.6090445515850007</v>
      </c>
      <c r="L9" s="15">
        <f>+L5-L6-L8</f>
        <v>-14.469792857142856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-633.87449000000004</v>
      </c>
      <c r="AQ9" s="64">
        <f>+AP9/$AP$5</f>
        <v>-2.3380367299364848</v>
      </c>
      <c r="AR9" s="15">
        <f>+AR5-AR6-AR8</f>
        <v>-45.276749285714288</v>
      </c>
      <c r="AS9" s="30">
        <f t="shared" si="0"/>
        <v>-211.29149666666669</v>
      </c>
      <c r="AT9" s="57"/>
      <c r="AU9" s="15">
        <f>+AU5-AU6-AU8</f>
        <v>-15.092249761904764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3</v>
      </c>
      <c r="E11" s="57"/>
      <c r="F11" s="85">
        <f>+D11/F4</f>
        <v>0.21428571428571427</v>
      </c>
      <c r="G11" s="33">
        <v>3</v>
      </c>
      <c r="H11" s="57"/>
      <c r="I11" s="85">
        <f>+G11/I4</f>
        <v>0.21428571428571427</v>
      </c>
      <c r="J11" s="33">
        <v>3</v>
      </c>
      <c r="K11" s="57"/>
      <c r="L11" s="85">
        <f>+J11/L4</f>
        <v>0.21428571428571427</v>
      </c>
      <c r="M11" s="33">
        <v>0</v>
      </c>
      <c r="N11" s="57"/>
      <c r="O11" s="85" t="e">
        <f>+M11/O4</f>
        <v>#DIV/0!</v>
      </c>
      <c r="P11" s="33">
        <v>0</v>
      </c>
      <c r="Q11" s="57"/>
      <c r="R11" s="85" t="e">
        <f>+P11/R4</f>
        <v>#DIV/0!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9</v>
      </c>
      <c r="AQ11" s="57"/>
      <c r="AR11" s="85">
        <f>+AP11/AR4</f>
        <v>0.6428571428571429</v>
      </c>
      <c r="AS11" s="29">
        <f>+AP11/AS4</f>
        <v>3</v>
      </c>
      <c r="AT11" s="57"/>
      <c r="AU11" s="85">
        <f>+AS11/AU4</f>
        <v>0.21428571428571427</v>
      </c>
    </row>
    <row r="12" spans="2:47">
      <c r="B12" s="18" t="s">
        <v>15</v>
      </c>
      <c r="C12" s="17"/>
      <c r="D12" s="33">
        <v>140.83199999999999</v>
      </c>
      <c r="E12" s="57"/>
      <c r="F12" s="85">
        <f>+D12/F4</f>
        <v>10.059428571428571</v>
      </c>
      <c r="G12" s="33">
        <v>135.34</v>
      </c>
      <c r="H12" s="57"/>
      <c r="I12" s="85">
        <f>+G12/I4</f>
        <v>9.6671428571428581</v>
      </c>
      <c r="J12" s="33">
        <v>141.626</v>
      </c>
      <c r="K12" s="57"/>
      <c r="L12" s="85">
        <f>+J12/L4</f>
        <v>10.116142857142858</v>
      </c>
      <c r="M12" s="33">
        <v>0</v>
      </c>
      <c r="N12" s="57"/>
      <c r="O12" s="85" t="e">
        <f>+M12/O4</f>
        <v>#DIV/0!</v>
      </c>
      <c r="P12" s="33">
        <v>0</v>
      </c>
      <c r="Q12" s="57"/>
      <c r="R12" s="85" t="e">
        <f>+P12/R4</f>
        <v>#DIV/0!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417.798</v>
      </c>
      <c r="AQ12" s="57"/>
      <c r="AR12" s="85">
        <f>+AP12/AR4</f>
        <v>29.842714285714287</v>
      </c>
      <c r="AS12" s="14">
        <f t="shared" ref="AS12" si="1">+AP12/$AS$4</f>
        <v>139.26599999999999</v>
      </c>
      <c r="AT12" s="57"/>
      <c r="AU12" s="85">
        <f>+AS12/AU4</f>
        <v>9.9475714285714272</v>
      </c>
    </row>
    <row r="13" spans="2:47">
      <c r="B13" s="19" t="s">
        <v>20</v>
      </c>
      <c r="C13" s="17"/>
      <c r="D13" s="34">
        <f>+D12/D5</f>
        <v>2.2983598531211751</v>
      </c>
      <c r="E13" s="57"/>
      <c r="F13" s="34"/>
      <c r="G13" s="34">
        <f>+G12/G5</f>
        <v>1.6123421491541579</v>
      </c>
      <c r="H13" s="57"/>
      <c r="I13" s="34"/>
      <c r="J13" s="34">
        <f>+J12/J5</f>
        <v>1.1249175926734922</v>
      </c>
      <c r="K13" s="57"/>
      <c r="L13" s="34"/>
      <c r="M13" s="34" t="e">
        <f>+M12/M5</f>
        <v>#DIV/0!</v>
      </c>
      <c r="N13" s="57"/>
      <c r="O13" s="34"/>
      <c r="P13" s="34" t="e">
        <f>+P12/P5</f>
        <v>#DIV/0!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1.5410417757843566</v>
      </c>
      <c r="AQ13" s="57"/>
      <c r="AR13" s="34"/>
      <c r="AS13" s="35">
        <f>+AS12/AS5</f>
        <v>1.5410417757843564</v>
      </c>
      <c r="AT13" s="57"/>
      <c r="AU13" s="34"/>
    </row>
    <row r="14" spans="2:47">
      <c r="B14" s="19" t="s">
        <v>16</v>
      </c>
      <c r="C14" s="17"/>
      <c r="D14" s="8">
        <f>+D5/D11</f>
        <v>20.425000000000001</v>
      </c>
      <c r="E14" s="57"/>
      <c r="F14" s="8"/>
      <c r="G14" s="8">
        <f>+G5/G11</f>
        <v>27.98</v>
      </c>
      <c r="H14" s="57"/>
      <c r="I14" s="8"/>
      <c r="J14" s="8">
        <f>+J5/J11</f>
        <v>41.966333333333331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30.123777777777775</v>
      </c>
      <c r="AQ14" s="57"/>
      <c r="AR14" s="8"/>
      <c r="AS14" s="36">
        <f>+AS5/AS11</f>
        <v>30.123777777777775</v>
      </c>
      <c r="AT14" s="57"/>
      <c r="AU14" s="8"/>
    </row>
    <row r="15" spans="2:47">
      <c r="B15" s="10" t="s">
        <v>36</v>
      </c>
      <c r="C15" s="17"/>
      <c r="D15" s="8">
        <f>+D12/D11</f>
        <v>46.943999999999996</v>
      </c>
      <c r="E15" s="57"/>
      <c r="F15" s="8"/>
      <c r="G15" s="8">
        <f>+G12/G11</f>
        <v>45.113333333333337</v>
      </c>
      <c r="H15" s="57"/>
      <c r="I15" s="8"/>
      <c r="J15" s="8">
        <f>+J12/J11</f>
        <v>47.208666666666666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46.421999999999997</v>
      </c>
      <c r="AQ15" s="57"/>
      <c r="AR15" s="8"/>
      <c r="AS15" s="36">
        <f>+AS12/AS11</f>
        <v>46.421999999999997</v>
      </c>
      <c r="AT15" s="57"/>
      <c r="AU15" s="8"/>
    </row>
    <row r="16" spans="2:47">
      <c r="B16" s="19" t="s">
        <v>21</v>
      </c>
      <c r="C16" s="17"/>
      <c r="D16" s="34">
        <f>+D12/D7</f>
        <v>29.316912931066806</v>
      </c>
      <c r="E16" s="57"/>
      <c r="F16" s="34"/>
      <c r="G16" s="34">
        <f>+G12/G7</f>
        <v>4.0894604988150718</v>
      </c>
      <c r="H16" s="57"/>
      <c r="I16" s="34"/>
      <c r="J16" s="34">
        <f>+J12/J7</f>
        <v>8.0793179477964241</v>
      </c>
      <c r="K16" s="57"/>
      <c r="L16" s="34"/>
      <c r="M16" s="34" t="e">
        <f>+M12/M7</f>
        <v>#DIV/0!</v>
      </c>
      <c r="N16" s="57"/>
      <c r="O16" s="34"/>
      <c r="P16" s="34" t="e">
        <f>+P12/P7</f>
        <v>#DIV/0!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7.5376623320390435</v>
      </c>
      <c r="AQ16" s="57"/>
      <c r="AR16" s="34"/>
      <c r="AS16" s="35">
        <f>+AS12/AS7</f>
        <v>7.5376623320390435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13567</v>
      </c>
      <c r="E18" s="58">
        <v>13567</v>
      </c>
      <c r="F18" s="67">
        <f>+D18/F4</f>
        <v>969.07142857142856</v>
      </c>
      <c r="G18" s="11">
        <v>12818</v>
      </c>
      <c r="H18" s="58">
        <v>12818</v>
      </c>
      <c r="I18" s="67">
        <f>+G18/I4</f>
        <v>915.57142857142856</v>
      </c>
      <c r="J18" s="11">
        <v>14413</v>
      </c>
      <c r="K18" s="58">
        <v>14413</v>
      </c>
      <c r="L18" s="67">
        <f>+J18/L4</f>
        <v>1029.5</v>
      </c>
      <c r="M18" s="11">
        <v>0</v>
      </c>
      <c r="N18" s="58">
        <v>0</v>
      </c>
      <c r="O18" s="67" t="e">
        <f>+M18/O4</f>
        <v>#DIV/0!</v>
      </c>
      <c r="P18" s="11">
        <v>0</v>
      </c>
      <c r="Q18" s="58">
        <v>0</v>
      </c>
      <c r="R18" s="67" t="e">
        <f>+P18/R4</f>
        <v>#DIV/0!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40798</v>
      </c>
      <c r="AQ18" s="67">
        <f t="shared" si="2"/>
        <v>40798</v>
      </c>
      <c r="AR18" s="67">
        <f>+AP18/AR4</f>
        <v>2914.1428571428573</v>
      </c>
      <c r="AS18" s="14">
        <f t="shared" ref="AS18:AT20" si="3">+AP18/$AS$4</f>
        <v>13599.333333333334</v>
      </c>
      <c r="AT18" s="67">
        <f t="shared" si="3"/>
        <v>13599.333333333334</v>
      </c>
      <c r="AU18" s="67">
        <f>+AS18/AU4</f>
        <v>971.38095238095241</v>
      </c>
    </row>
    <row r="19" spans="2:47">
      <c r="B19" s="18" t="s">
        <v>35</v>
      </c>
      <c r="C19" s="17"/>
      <c r="D19" s="11">
        <v>791</v>
      </c>
      <c r="E19" s="11">
        <v>791</v>
      </c>
      <c r="F19" s="67">
        <f>+D19/F4</f>
        <v>56.5</v>
      </c>
      <c r="G19" s="11">
        <v>818.98</v>
      </c>
      <c r="H19" s="58">
        <v>818.98</v>
      </c>
      <c r="I19" s="67">
        <f>+G19/I4</f>
        <v>58.498571428571431</v>
      </c>
      <c r="J19" s="11">
        <v>965.3</v>
      </c>
      <c r="K19" s="58">
        <v>965.3</v>
      </c>
      <c r="L19" s="67">
        <f>+J19/L4</f>
        <v>68.95</v>
      </c>
      <c r="M19" s="11">
        <v>0</v>
      </c>
      <c r="N19" s="58">
        <v>0</v>
      </c>
      <c r="O19" s="67" t="e">
        <f>+M19/O4</f>
        <v>#DIV/0!</v>
      </c>
      <c r="P19" s="11">
        <v>0</v>
      </c>
      <c r="Q19" s="58">
        <v>0</v>
      </c>
      <c r="R19" s="67" t="e">
        <f>+P19/R4</f>
        <v>#DIV/0!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2575.2799999999997</v>
      </c>
      <c r="AQ19" s="67">
        <f t="shared" si="2"/>
        <v>2575.2799999999997</v>
      </c>
      <c r="AR19" s="67">
        <f>+AP19/AR4</f>
        <v>183.9485714285714</v>
      </c>
      <c r="AS19" s="14">
        <f t="shared" si="3"/>
        <v>858.42666666666662</v>
      </c>
      <c r="AT19" s="67">
        <f t="shared" si="3"/>
        <v>858.42666666666662</v>
      </c>
      <c r="AU19" s="67">
        <f>+AS19/AU4</f>
        <v>61.316190476190471</v>
      </c>
    </row>
    <row r="20" spans="2:47">
      <c r="B20" s="18" t="s">
        <v>29</v>
      </c>
      <c r="C20" s="17"/>
      <c r="D20" s="11">
        <f>27.83606+9.27922</f>
        <v>37.115279999999998</v>
      </c>
      <c r="E20" s="59">
        <v>29.210999999999999</v>
      </c>
      <c r="F20" s="67">
        <f>+D20/F4</f>
        <v>2.6510914285714287</v>
      </c>
      <c r="G20" s="11">
        <f>22.611+8.469</f>
        <v>31.08</v>
      </c>
      <c r="H20" s="59">
        <v>31.081230000000001</v>
      </c>
      <c r="I20" s="67">
        <f>+G20/I4</f>
        <v>2.2199999999999998</v>
      </c>
      <c r="J20" s="11">
        <f>26.63335+8.2884</f>
        <v>34.921750000000003</v>
      </c>
      <c r="K20" s="59">
        <v>34.9392</v>
      </c>
      <c r="L20" s="67">
        <f>+J20/L4</f>
        <v>2.4944107142857144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103.11703</v>
      </c>
      <c r="AQ20" s="67">
        <f t="shared" si="2"/>
        <v>95.231430000000003</v>
      </c>
      <c r="AR20" s="67">
        <f>+AP20/AR4</f>
        <v>7.3655021428571432</v>
      </c>
      <c r="AS20" s="14">
        <f t="shared" si="3"/>
        <v>34.372343333333333</v>
      </c>
      <c r="AT20" s="67">
        <f t="shared" si="3"/>
        <v>31.74381</v>
      </c>
      <c r="AU20" s="67">
        <f>+AS20/AU4</f>
        <v>2.4551673809523811</v>
      </c>
    </row>
    <row r="21" spans="2:47">
      <c r="B21" s="19" t="s">
        <v>19</v>
      </c>
      <c r="C21" s="17"/>
      <c r="D21" s="44">
        <f t="shared" ref="D21:E21" si="4">+D20/D19*1000</f>
        <v>46.921972187104927</v>
      </c>
      <c r="E21" s="60">
        <f t="shared" si="4"/>
        <v>36.929203539823007</v>
      </c>
      <c r="F21" s="60"/>
      <c r="G21" s="44">
        <f t="shared" ref="G21:H21" si="5">+G20/G19*1000</f>
        <v>37.949644679967761</v>
      </c>
      <c r="H21" s="60">
        <f t="shared" si="5"/>
        <v>37.951146548145253</v>
      </c>
      <c r="I21" s="60"/>
      <c r="J21" s="44">
        <f t="shared" ref="J21:K21" si="6">+J20/J19*1000</f>
        <v>36.177095203563667</v>
      </c>
      <c r="K21" s="60">
        <f t="shared" si="6"/>
        <v>36.195172485237748</v>
      </c>
      <c r="L21" s="60"/>
      <c r="M21" s="44" t="e">
        <f t="shared" ref="M21:N21" si="7">+M20/M19*1000</f>
        <v>#DIV/0!</v>
      </c>
      <c r="N21" s="60" t="e">
        <f t="shared" si="7"/>
        <v>#DIV/0!</v>
      </c>
      <c r="O21" s="60"/>
      <c r="P21" s="44" t="e">
        <f t="shared" ref="P21:Q21" si="8">+P20/P19*1000</f>
        <v>#DIV/0!</v>
      </c>
      <c r="Q21" s="60" t="e">
        <f t="shared" si="8"/>
        <v>#DIV/0!</v>
      </c>
      <c r="R21" s="60"/>
      <c r="S21" s="44" t="e">
        <f t="shared" ref="S21:T21" si="9">+S20/S19*1000</f>
        <v>#DIV/0!</v>
      </c>
      <c r="T21" s="60" t="e">
        <f t="shared" si="9"/>
        <v>#DIV/0!</v>
      </c>
      <c r="U21" s="60"/>
      <c r="V21" s="44" t="e">
        <f t="shared" ref="V21:AC21" si="10">+V20/V19*1000</f>
        <v>#DIV/0!</v>
      </c>
      <c r="W21" s="60" t="e">
        <f t="shared" si="10"/>
        <v>#DIV/0!</v>
      </c>
      <c r="X21" s="60"/>
      <c r="Y21" s="44" t="e">
        <f t="shared" ref="Y21" si="11">+Y20/Y19*1000</f>
        <v>#DIV/0!</v>
      </c>
      <c r="Z21" s="68" t="e">
        <f t="shared" si="10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8"/>
      <c r="AE21" s="44" t="e">
        <f t="shared" ref="AE21:AF21" si="12">+AE20/AE19*1000</f>
        <v>#DIV/0!</v>
      </c>
      <c r="AF21" s="60" t="e">
        <f t="shared" si="12"/>
        <v>#DIV/0!</v>
      </c>
      <c r="AG21" s="68"/>
      <c r="AH21" s="44" t="e">
        <f t="shared" ref="AH21:AI21" si="13">+AH20/AH19*1000</f>
        <v>#DIV/0!</v>
      </c>
      <c r="AI21" s="60" t="e">
        <f t="shared" si="13"/>
        <v>#DIV/0!</v>
      </c>
      <c r="AJ21" s="68"/>
      <c r="AK21" s="44" t="e">
        <f t="shared" ref="AK21:AL21" si="14">+AK20/AK19*1000</f>
        <v>#DIV/0!</v>
      </c>
      <c r="AL21" s="44" t="e">
        <f t="shared" si="14"/>
        <v>#DIV/0!</v>
      </c>
      <c r="AM21" s="17"/>
      <c r="AN21" s="17"/>
      <c r="AO21" s="17"/>
      <c r="AP21" s="45">
        <f>+AP20/AP19*1000</f>
        <v>40.041094560591475</v>
      </c>
      <c r="AQ21" s="68">
        <f>+AQ20/AQ19*1000</f>
        <v>36.979058587804047</v>
      </c>
      <c r="AR21" s="60"/>
      <c r="AS21" s="45">
        <f>+AS20/AS19*1000</f>
        <v>40.041094560591468</v>
      </c>
      <c r="AT21" s="68">
        <f>+AT20/AT19*1000</f>
        <v>36.97905858780404</v>
      </c>
    </row>
    <row r="22" spans="2:47">
      <c r="B22" s="19" t="s">
        <v>23</v>
      </c>
      <c r="C22" s="17"/>
      <c r="D22" s="46">
        <f>+D19/D18</f>
        <v>5.8303235792732368E-2</v>
      </c>
      <c r="E22" s="46">
        <f>+E19/E18</f>
        <v>5.8303235792732368E-2</v>
      </c>
      <c r="F22" s="61"/>
      <c r="G22" s="46">
        <f>+G19/G18</f>
        <v>6.3892963020752064E-2</v>
      </c>
      <c r="H22" s="46">
        <f>+H19/H18</f>
        <v>6.3892963020752064E-2</v>
      </c>
      <c r="I22" s="61"/>
      <c r="J22" s="46">
        <f>+J19/J18</f>
        <v>6.6974259349198637E-2</v>
      </c>
      <c r="K22" s="46">
        <f>+K19/K18</f>
        <v>6.6974259349198637E-2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6.3122702093239863E-2</v>
      </c>
      <c r="AQ22" s="46">
        <f>+AQ19/AQ18</f>
        <v>6.3122702093239863E-2</v>
      </c>
      <c r="AR22" s="69"/>
      <c r="AS22" s="47">
        <f>+AS19/AS18</f>
        <v>6.3122702093239863E-2</v>
      </c>
      <c r="AT22" s="46">
        <f>+AT19/AT18</f>
        <v>6.3122702093239863E-2</v>
      </c>
    </row>
    <row r="23" spans="2:47">
      <c r="B23" s="10" t="s">
        <v>30</v>
      </c>
      <c r="C23" s="10"/>
      <c r="D23" s="48">
        <f>+D20*1000/(D18*D21)*100</f>
        <v>5.8303235792732364</v>
      </c>
      <c r="E23" s="48">
        <f>+E20*1000/(E18*E21)*100</f>
        <v>5.8303235792732364</v>
      </c>
      <c r="F23" s="62"/>
      <c r="G23" s="48">
        <f>+G20*1000/(G18*G21)*100</f>
        <v>6.3892963020752065</v>
      </c>
      <c r="H23" s="48">
        <f>+H20*1000/(H18*H21)*100</f>
        <v>6.3892963020752074</v>
      </c>
      <c r="I23" s="62"/>
      <c r="J23" s="48">
        <f>+J20*1000/(J18*J21)*100</f>
        <v>6.6974259349198624</v>
      </c>
      <c r="K23" s="48">
        <f>+K20*1000/(K18*K21)*100</f>
        <v>6.6974259349198633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6.3122702093239846</v>
      </c>
      <c r="AQ23" s="48">
        <f>+AQ20*1000/(AQ18*AQ21)*100</f>
        <v>6.3122702093239864</v>
      </c>
      <c r="AR23" s="70"/>
      <c r="AS23" s="49">
        <f>+AS20/(AS18*AS21)*1000*100</f>
        <v>6.3122702093239864</v>
      </c>
      <c r="AT23" s="48">
        <f>+AT20*1000/(AT18*AT21)*100</f>
        <v>6.3122702093239873</v>
      </c>
    </row>
    <row r="24" spans="2:47">
      <c r="B24" s="19" t="s">
        <v>39</v>
      </c>
      <c r="C24" s="10"/>
      <c r="D24" s="49">
        <f>+D20/D18*1000</f>
        <v>2.7357028082848083</v>
      </c>
      <c r="E24" s="48">
        <f>+E20/E18*1000</f>
        <v>2.1530920616201077</v>
      </c>
      <c r="F24" s="62"/>
      <c r="G24" s="49">
        <f>+G20/G18*1000</f>
        <v>2.4247152441878606</v>
      </c>
      <c r="H24" s="48">
        <f>+H20/H18*1000</f>
        <v>2.4248112029957869</v>
      </c>
      <c r="I24" s="62"/>
      <c r="J24" s="49">
        <f>+J20/J18*1000</f>
        <v>2.4229341566641232</v>
      </c>
      <c r="K24" s="48">
        <f>+K20/K18*1000</f>
        <v>2.4241448692152918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2.5275020834354627</v>
      </c>
      <c r="AQ24" s="48">
        <f>+AQ20/AQ18*1000</f>
        <v>2.3342180989264181</v>
      </c>
      <c r="AR24" s="70"/>
      <c r="AS24" s="49">
        <f>+AS20/AS18*1000</f>
        <v>2.5275020834354627</v>
      </c>
      <c r="AT24" s="48">
        <f>+AT20/AT18*1000</f>
        <v>2.3342180989264176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3320.3412468930751</v>
      </c>
      <c r="E26" s="63"/>
      <c r="F26" s="63"/>
      <c r="G26" s="22">
        <f>+G8/(1-G6/G5)</f>
        <v>529.82023294877172</v>
      </c>
      <c r="H26" s="63"/>
      <c r="I26" s="63"/>
      <c r="J26" s="22">
        <f>+J8/(1-J6/J5)</f>
        <v>1580.8365087581192</v>
      </c>
      <c r="K26" s="63"/>
      <c r="L26" s="63"/>
      <c r="M26" s="22" t="e">
        <f>+M8/(1-M6/M5)</f>
        <v>#DIV/0!</v>
      </c>
      <c r="N26" s="63"/>
      <c r="O26" s="63"/>
      <c r="P26" s="22" t="e">
        <f>+P8/(1-P6/P5)</f>
        <v>#DIV/0!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3371.5697706306178</v>
      </c>
      <c r="AQ26" s="71"/>
      <c r="AR26" s="71"/>
      <c r="AS26" s="32">
        <f>+AS8/(1-AS6/AS5)</f>
        <v>1123.8565902102059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U78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54</v>
      </c>
      <c r="E3" s="24" t="s">
        <v>26</v>
      </c>
      <c r="F3" s="3" t="s">
        <v>38</v>
      </c>
      <c r="G3" s="4" t="s">
        <v>53</v>
      </c>
      <c r="H3" s="24" t="s">
        <v>26</v>
      </c>
      <c r="I3" s="3" t="s">
        <v>38</v>
      </c>
      <c r="J3" s="4" t="s">
        <v>52</v>
      </c>
      <c r="K3" s="24" t="s">
        <v>26</v>
      </c>
      <c r="L3" s="3" t="s">
        <v>38</v>
      </c>
      <c r="M3" s="4" t="s">
        <v>51</v>
      </c>
      <c r="N3" s="24" t="s">
        <v>26</v>
      </c>
      <c r="O3" s="3" t="s">
        <v>38</v>
      </c>
      <c r="P3" s="4" t="s">
        <v>50</v>
      </c>
      <c r="Q3" s="24" t="s">
        <v>26</v>
      </c>
      <c r="R3" s="3" t="s">
        <v>38</v>
      </c>
      <c r="S3" s="4" t="s">
        <v>49</v>
      </c>
      <c r="T3" s="24" t="s">
        <v>26</v>
      </c>
      <c r="U3" s="3" t="s">
        <v>38</v>
      </c>
      <c r="V3" s="4" t="s">
        <v>43</v>
      </c>
      <c r="W3" s="24" t="s">
        <v>26</v>
      </c>
      <c r="X3" s="3" t="s">
        <v>38</v>
      </c>
      <c r="Y3" s="4" t="s">
        <v>44</v>
      </c>
      <c r="Z3" s="24" t="s">
        <v>26</v>
      </c>
      <c r="AA3" s="3" t="s">
        <v>38</v>
      </c>
      <c r="AB3" s="4" t="s">
        <v>45</v>
      </c>
      <c r="AC3" s="24" t="s">
        <v>26</v>
      </c>
      <c r="AD3" s="3" t="s">
        <v>38</v>
      </c>
      <c r="AE3" s="4" t="s">
        <v>46</v>
      </c>
      <c r="AF3" s="24" t="s">
        <v>26</v>
      </c>
      <c r="AG3" s="3" t="s">
        <v>38</v>
      </c>
      <c r="AH3" s="4" t="s">
        <v>47</v>
      </c>
      <c r="AI3" s="24" t="s">
        <v>26</v>
      </c>
      <c r="AJ3" s="3" t="s">
        <v>38</v>
      </c>
      <c r="AK3" s="4" t="s">
        <v>48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12</v>
      </c>
      <c r="G4" s="42"/>
      <c r="H4" s="3" t="s">
        <v>28</v>
      </c>
      <c r="I4" s="3">
        <v>12</v>
      </c>
      <c r="J4" s="42"/>
      <c r="K4" s="3" t="s">
        <v>28</v>
      </c>
      <c r="L4" s="3">
        <v>12</v>
      </c>
      <c r="M4" s="42"/>
      <c r="N4" s="3" t="s">
        <v>28</v>
      </c>
      <c r="O4" s="3">
        <v>0</v>
      </c>
      <c r="P4" s="42"/>
      <c r="Q4" s="3" t="s">
        <v>28</v>
      </c>
      <c r="R4" s="3">
        <v>0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12</v>
      </c>
      <c r="AS4" s="42">
        <v>3</v>
      </c>
      <c r="AT4" s="3" t="s">
        <v>28</v>
      </c>
      <c r="AU4" s="88">
        <f>+AR4</f>
        <v>12</v>
      </c>
    </row>
    <row r="5" spans="2:47">
      <c r="B5" s="10" t="s">
        <v>3</v>
      </c>
      <c r="C5" s="17"/>
      <c r="D5" s="9">
        <f>0.25545+92.4023</f>
        <v>92.657749999999993</v>
      </c>
      <c r="E5" s="54">
        <f>+D5/D5</f>
        <v>1</v>
      </c>
      <c r="F5" s="84">
        <f>+D5/F4</f>
        <v>7.7214791666666658</v>
      </c>
      <c r="G5" s="9">
        <f>0.1196+103.279</f>
        <v>103.3986</v>
      </c>
      <c r="H5" s="54">
        <f>+G5/G5</f>
        <v>1</v>
      </c>
      <c r="I5" s="84">
        <f>+G5/I4</f>
        <v>8.6165500000000002</v>
      </c>
      <c r="J5" s="9">
        <f>2.735+114.213</f>
        <v>116.94799999999999</v>
      </c>
      <c r="K5" s="54">
        <f>+J5/J5</f>
        <v>1</v>
      </c>
      <c r="L5" s="84">
        <f>+J5/L4</f>
        <v>9.7456666666666667</v>
      </c>
      <c r="M5" s="9">
        <v>0</v>
      </c>
      <c r="N5" s="54" t="e">
        <f>+M5/M5</f>
        <v>#DIV/0!</v>
      </c>
      <c r="O5" s="84" t="e">
        <f>+M5/O4</f>
        <v>#DIV/0!</v>
      </c>
      <c r="P5" s="9">
        <v>0</v>
      </c>
      <c r="Q5" s="54" t="e">
        <f>+P5/P5</f>
        <v>#DIV/0!</v>
      </c>
      <c r="R5" s="84" t="e">
        <f>+P5/R4</f>
        <v>#DIV/0!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313.00434999999999</v>
      </c>
      <c r="AQ5" s="64">
        <f>+AP5/$AP$5</f>
        <v>1</v>
      </c>
      <c r="AR5" s="84">
        <f>+AP5/AR4</f>
        <v>26.083695833333334</v>
      </c>
      <c r="AS5" s="31">
        <f>+AP5/$AS$4</f>
        <v>104.33478333333333</v>
      </c>
      <c r="AT5" s="57"/>
      <c r="AU5" s="84">
        <f>+AS5/AU4</f>
        <v>8.6945652777777784</v>
      </c>
    </row>
    <row r="6" spans="2:47">
      <c r="B6" s="7" t="s">
        <v>4</v>
      </c>
      <c r="C6" s="17"/>
      <c r="D6" s="11">
        <f>22.74836+2.8926+21.3638</f>
        <v>47.004760000000005</v>
      </c>
      <c r="E6" s="55">
        <f>+D6/D5</f>
        <v>0.50729442491318866</v>
      </c>
      <c r="F6" s="85">
        <f>+D6/F4</f>
        <v>3.9170633333333336</v>
      </c>
      <c r="G6" s="11">
        <f>17.79883+1.9259+0.60023+22.799</f>
        <v>43.123959999999997</v>
      </c>
      <c r="H6" s="55">
        <f>+G6/G5</f>
        <v>0.41706522138597618</v>
      </c>
      <c r="I6" s="85">
        <f>+G6/I4</f>
        <v>3.5936633333333332</v>
      </c>
      <c r="J6" s="11">
        <f>22.38244+3.9275+0.90032+27.866</f>
        <v>55.076259999999998</v>
      </c>
      <c r="K6" s="55">
        <f>+J6/J5</f>
        <v>0.47094657454595207</v>
      </c>
      <c r="L6" s="85">
        <f>+J6/L4</f>
        <v>4.5896883333333331</v>
      </c>
      <c r="M6" s="11">
        <v>0</v>
      </c>
      <c r="N6" s="55" t="e">
        <f>+M6/M5</f>
        <v>#DIV/0!</v>
      </c>
      <c r="O6" s="85" t="e">
        <f>+M6/O4</f>
        <v>#DIV/0!</v>
      </c>
      <c r="P6" s="11">
        <v>0</v>
      </c>
      <c r="Q6" s="55" t="e">
        <f>+P6/P5</f>
        <v>#DIV/0!</v>
      </c>
      <c r="R6" s="85" t="e">
        <f>+P6/R4</f>
        <v>#DIV/0!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145.20498000000001</v>
      </c>
      <c r="AQ6" s="65">
        <f>+AP6/$AP$5</f>
        <v>0.46390722684844482</v>
      </c>
      <c r="AR6" s="85">
        <f>+AP6/AR4</f>
        <v>12.100415</v>
      </c>
      <c r="AS6" s="14">
        <f t="shared" ref="AS6:AS9" si="0">+AP6/$AS$4</f>
        <v>48.40166</v>
      </c>
      <c r="AT6" s="57"/>
      <c r="AU6" s="85">
        <f>+AS6/AU4</f>
        <v>4.0334716666666663</v>
      </c>
    </row>
    <row r="7" spans="2:47">
      <c r="B7" s="10" t="s">
        <v>7</v>
      </c>
      <c r="C7" s="17"/>
      <c r="D7" s="8">
        <f>+D5-D6</f>
        <v>45.652989999999988</v>
      </c>
      <c r="E7" s="56">
        <f>+D7/D5</f>
        <v>0.49270557508681134</v>
      </c>
      <c r="F7" s="86">
        <f>+F5-F6</f>
        <v>3.8044158333333322</v>
      </c>
      <c r="G7" s="8">
        <f>+G5-G6</f>
        <v>60.274640000000005</v>
      </c>
      <c r="H7" s="56">
        <f>+G7/G5</f>
        <v>0.58293477861402387</v>
      </c>
      <c r="I7" s="86">
        <f>+I5-I6</f>
        <v>5.0228866666666665</v>
      </c>
      <c r="J7" s="8">
        <f>+J5-J6</f>
        <v>61.871739999999996</v>
      </c>
      <c r="K7" s="56">
        <f>+J7/J5</f>
        <v>0.52905342545404799</v>
      </c>
      <c r="L7" s="86">
        <f>+L5-L6</f>
        <v>5.1559783333333336</v>
      </c>
      <c r="M7" s="8">
        <f>+M5-M6</f>
        <v>0</v>
      </c>
      <c r="N7" s="56" t="e">
        <f>+M7/M5</f>
        <v>#DIV/0!</v>
      </c>
      <c r="O7" s="86" t="e">
        <f>+O5-O6</f>
        <v>#DIV/0!</v>
      </c>
      <c r="P7" s="8">
        <f>+P5-P6</f>
        <v>0</v>
      </c>
      <c r="Q7" s="56" t="e">
        <f>+P7/P5</f>
        <v>#DIV/0!</v>
      </c>
      <c r="R7" s="86" t="e">
        <f>+R5-R6</f>
        <v>#DIV/0!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167.79936999999998</v>
      </c>
      <c r="AQ7" s="65">
        <f>+AP7/$AP$5</f>
        <v>0.53609277315155524</v>
      </c>
      <c r="AR7" s="86">
        <f>+AR5-AR6</f>
        <v>13.983280833333334</v>
      </c>
      <c r="AS7" s="13">
        <f t="shared" si="0"/>
        <v>55.933123333333327</v>
      </c>
      <c r="AT7" s="57"/>
      <c r="AU7" s="86">
        <f>+AU5-AU6</f>
        <v>4.6610936111111121</v>
      </c>
    </row>
    <row r="8" spans="2:47">
      <c r="B8" s="7" t="s">
        <v>5</v>
      </c>
      <c r="C8" s="17"/>
      <c r="D8" s="11">
        <v>187.41300000000001</v>
      </c>
      <c r="E8" s="55">
        <f>+D8/D5</f>
        <v>2.0226370702936345</v>
      </c>
      <c r="F8" s="85">
        <f>+D8/F4</f>
        <v>15.617750000000001</v>
      </c>
      <c r="G8" s="11">
        <v>221.00339</v>
      </c>
      <c r="H8" s="55">
        <f>+G8/G5</f>
        <v>2.1373924792018459</v>
      </c>
      <c r="I8" s="85">
        <f>+G8/I4</f>
        <v>18.416949166666665</v>
      </c>
      <c r="J8" s="11">
        <v>198.96776</v>
      </c>
      <c r="K8" s="55">
        <f>+J8/J5</f>
        <v>1.7013352943188427</v>
      </c>
      <c r="L8" s="85">
        <f>+J8/L4</f>
        <v>16.580646666666667</v>
      </c>
      <c r="M8" s="11">
        <v>0</v>
      </c>
      <c r="N8" s="55" t="e">
        <f>+M8/M5</f>
        <v>#DIV/0!</v>
      </c>
      <c r="O8" s="85" t="e">
        <f>+M8/O4</f>
        <v>#DIV/0!</v>
      </c>
      <c r="P8" s="11">
        <v>0</v>
      </c>
      <c r="Q8" s="55" t="e">
        <f>+P8/P5</f>
        <v>#DIV/0!</v>
      </c>
      <c r="R8" s="85" t="e">
        <f>+P8/R4</f>
        <v>#DIV/0!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607.38414999999998</v>
      </c>
      <c r="AQ8" s="65">
        <f>+AP8/$AP$5</f>
        <v>1.9404974723194741</v>
      </c>
      <c r="AR8" s="67">
        <f>+AP8/AR4</f>
        <v>50.615345833333329</v>
      </c>
      <c r="AS8" s="14">
        <f t="shared" si="0"/>
        <v>202.46138333333332</v>
      </c>
      <c r="AT8" s="57"/>
      <c r="AU8" s="85">
        <f>+AS8/AU4</f>
        <v>16.871781944444443</v>
      </c>
    </row>
    <row r="9" spans="2:47">
      <c r="B9" s="19" t="s">
        <v>14</v>
      </c>
      <c r="C9" s="17"/>
      <c r="D9" s="15">
        <f>+D5-D6-D8</f>
        <v>-141.76001000000002</v>
      </c>
      <c r="E9" s="54">
        <f>+D9/D5</f>
        <v>-1.5299314952068233</v>
      </c>
      <c r="F9" s="15">
        <f>+F5-F6-F8</f>
        <v>-11.813334166666669</v>
      </c>
      <c r="G9" s="15">
        <f>+G5-G6-G8</f>
        <v>-160.72874999999999</v>
      </c>
      <c r="H9" s="54">
        <f>+G9/G5</f>
        <v>-1.5544577005878222</v>
      </c>
      <c r="I9" s="15">
        <f>+I5-I6-I8</f>
        <v>-13.394062499999999</v>
      </c>
      <c r="J9" s="15">
        <f>+J5-J6-J8</f>
        <v>-137.09602000000001</v>
      </c>
      <c r="K9" s="54">
        <f>+J9/J5</f>
        <v>-1.1722818688647947</v>
      </c>
      <c r="L9" s="15">
        <f>+L5-L6-L8</f>
        <v>-11.424668333333333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-439.58478000000002</v>
      </c>
      <c r="AQ9" s="64">
        <f>+AP9/$AP$5</f>
        <v>-1.4044046991679191</v>
      </c>
      <c r="AR9" s="15">
        <f>+AR5-AR6-AR8</f>
        <v>-36.632064999999997</v>
      </c>
      <c r="AS9" s="30">
        <f t="shared" si="0"/>
        <v>-146.52826000000002</v>
      </c>
      <c r="AT9" s="57"/>
      <c r="AU9" s="15">
        <f>+AU5-AU6-AU8</f>
        <v>-12.21068833333333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2</v>
      </c>
      <c r="E11" s="57"/>
      <c r="F11" s="85">
        <f>+D11/F4</f>
        <v>0.16666666666666666</v>
      </c>
      <c r="G11" s="33">
        <v>3</v>
      </c>
      <c r="H11" s="57"/>
      <c r="I11" s="85">
        <f>+G11/I4</f>
        <v>0.25</v>
      </c>
      <c r="J11" s="33">
        <v>3</v>
      </c>
      <c r="K11" s="57"/>
      <c r="L11" s="85">
        <f>+J11/L4</f>
        <v>0.25</v>
      </c>
      <c r="M11" s="33">
        <v>0</v>
      </c>
      <c r="N11" s="57"/>
      <c r="O11" s="85" t="e">
        <f>+M11/O4</f>
        <v>#DIV/0!</v>
      </c>
      <c r="P11" s="33">
        <v>0</v>
      </c>
      <c r="Q11" s="57"/>
      <c r="R11" s="85" t="e">
        <f>+P11/R4</f>
        <v>#DIV/0!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8</v>
      </c>
      <c r="AQ11" s="57"/>
      <c r="AR11" s="85">
        <f>+AP11/AR4</f>
        <v>0.66666666666666663</v>
      </c>
      <c r="AS11" s="29">
        <f>+AP11/AS4</f>
        <v>2.6666666666666665</v>
      </c>
      <c r="AT11" s="57"/>
      <c r="AU11" s="85">
        <f>+AS11/AU4</f>
        <v>0.22222222222222221</v>
      </c>
    </row>
    <row r="12" spans="2:47">
      <c r="B12" s="18" t="s">
        <v>15</v>
      </c>
      <c r="C12" s="17"/>
      <c r="D12" s="33">
        <v>97.966579999999993</v>
      </c>
      <c r="E12" s="57"/>
      <c r="F12" s="85">
        <f>+D12/F4</f>
        <v>8.1638816666666667</v>
      </c>
      <c r="G12" s="33">
        <v>106.28467999999999</v>
      </c>
      <c r="H12" s="57"/>
      <c r="I12" s="85">
        <f>+G12/I4</f>
        <v>8.8570566666666668</v>
      </c>
      <c r="J12" s="33">
        <v>112.25511</v>
      </c>
      <c r="K12" s="57"/>
      <c r="L12" s="85">
        <f>+J12/L4</f>
        <v>9.3545925000000008</v>
      </c>
      <c r="M12" s="33">
        <v>0</v>
      </c>
      <c r="N12" s="57"/>
      <c r="O12" s="85" t="e">
        <f>+M12/O4</f>
        <v>#DIV/0!</v>
      </c>
      <c r="P12" s="33">
        <v>0</v>
      </c>
      <c r="Q12" s="57"/>
      <c r="R12" s="85" t="e">
        <f>+P12/R4</f>
        <v>#DIV/0!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316.50636999999995</v>
      </c>
      <c r="AQ12" s="57"/>
      <c r="AR12" s="85">
        <f>+AP12/AR4</f>
        <v>26.375530833333329</v>
      </c>
      <c r="AS12" s="14">
        <f t="shared" ref="AS12" si="1">+AP12/$AS$4</f>
        <v>105.50212333333332</v>
      </c>
      <c r="AT12" s="57"/>
      <c r="AU12" s="85">
        <f>+AS12/AU4</f>
        <v>8.7918436111111102</v>
      </c>
    </row>
    <row r="13" spans="2:47">
      <c r="B13" s="19" t="s">
        <v>20</v>
      </c>
      <c r="C13" s="17"/>
      <c r="D13" s="34">
        <f>+D12/D5</f>
        <v>1.0572950454764982</v>
      </c>
      <c r="E13" s="57"/>
      <c r="F13" s="34"/>
      <c r="G13" s="34">
        <f>+G12/G5</f>
        <v>1.0279121767606136</v>
      </c>
      <c r="H13" s="57"/>
      <c r="I13" s="34"/>
      <c r="J13" s="34">
        <f>+J12/J5</f>
        <v>0.95987199439066939</v>
      </c>
      <c r="K13" s="57"/>
      <c r="L13" s="34"/>
      <c r="M13" s="34" t="e">
        <f>+M12/M5</f>
        <v>#DIV/0!</v>
      </c>
      <c r="N13" s="57"/>
      <c r="O13" s="34"/>
      <c r="P13" s="34" t="e">
        <f>+P12/P5</f>
        <v>#DIV/0!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1.0111884068064867</v>
      </c>
      <c r="AQ13" s="57"/>
      <c r="AR13" s="34"/>
      <c r="AS13" s="35">
        <f>+AS12/AS5</f>
        <v>1.0111884068064867</v>
      </c>
      <c r="AT13" s="57"/>
      <c r="AU13" s="34"/>
    </row>
    <row r="14" spans="2:47">
      <c r="B14" s="19" t="s">
        <v>16</v>
      </c>
      <c r="C14" s="17"/>
      <c r="D14" s="8">
        <f>+D5/D11</f>
        <v>46.328874999999996</v>
      </c>
      <c r="E14" s="57"/>
      <c r="F14" s="8"/>
      <c r="G14" s="8">
        <f>+G5/G11</f>
        <v>34.466200000000001</v>
      </c>
      <c r="H14" s="57"/>
      <c r="I14" s="8"/>
      <c r="J14" s="8">
        <f>+J5/J11</f>
        <v>38.982666666666667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39.125543749999999</v>
      </c>
      <c r="AQ14" s="57"/>
      <c r="AR14" s="8"/>
      <c r="AS14" s="36">
        <f>+AS5/AS11</f>
        <v>39.125543750000006</v>
      </c>
      <c r="AT14" s="57"/>
      <c r="AU14" s="8"/>
    </row>
    <row r="15" spans="2:47">
      <c r="B15" s="10" t="s">
        <v>36</v>
      </c>
      <c r="C15" s="17"/>
      <c r="D15" s="8">
        <f>+D12/D11</f>
        <v>48.983289999999997</v>
      </c>
      <c r="E15" s="57"/>
      <c r="F15" s="8"/>
      <c r="G15" s="8">
        <f>+G12/G11</f>
        <v>35.428226666666667</v>
      </c>
      <c r="H15" s="57"/>
      <c r="I15" s="8"/>
      <c r="J15" s="8">
        <f>+J12/J11</f>
        <v>37.418370000000003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39.563296249999993</v>
      </c>
      <c r="AQ15" s="57"/>
      <c r="AR15" s="8"/>
      <c r="AS15" s="36">
        <f>+AS12/AS11</f>
        <v>39.563296249999993</v>
      </c>
      <c r="AT15" s="57"/>
      <c r="AU15" s="8"/>
    </row>
    <row r="16" spans="2:47">
      <c r="B16" s="19" t="s">
        <v>21</v>
      </c>
      <c r="C16" s="17"/>
      <c r="D16" s="34">
        <f>+D12/D7</f>
        <v>2.1458962490737195</v>
      </c>
      <c r="E16" s="57"/>
      <c r="F16" s="34"/>
      <c r="G16" s="34">
        <f>+G12/G7</f>
        <v>1.7633399386541335</v>
      </c>
      <c r="H16" s="57"/>
      <c r="I16" s="34"/>
      <c r="J16" s="34">
        <f>+J12/J7</f>
        <v>1.8143195908180376</v>
      </c>
      <c r="K16" s="57"/>
      <c r="L16" s="34"/>
      <c r="M16" s="34" t="e">
        <f>+M12/M7</f>
        <v>#DIV/0!</v>
      </c>
      <c r="N16" s="57"/>
      <c r="O16" s="34"/>
      <c r="P16" s="34" t="e">
        <f>+P12/P7</f>
        <v>#DIV/0!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1.8862190602980213</v>
      </c>
      <c r="AQ16" s="57"/>
      <c r="AR16" s="34"/>
      <c r="AS16" s="35">
        <f>+AS12/AS7</f>
        <v>1.8862190602980213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7596</v>
      </c>
      <c r="E18" s="58">
        <v>7596</v>
      </c>
      <c r="F18" s="67">
        <f>+D18/F4</f>
        <v>633</v>
      </c>
      <c r="G18" s="11">
        <v>6405</v>
      </c>
      <c r="H18" s="58">
        <v>6405</v>
      </c>
      <c r="I18" s="67">
        <f>+G18/I4</f>
        <v>533.75</v>
      </c>
      <c r="J18" s="11">
        <v>6219</v>
      </c>
      <c r="K18" s="58">
        <v>6219</v>
      </c>
      <c r="L18" s="67">
        <f>+J18/L4</f>
        <v>518.25</v>
      </c>
      <c r="M18" s="11">
        <v>0</v>
      </c>
      <c r="N18" s="58">
        <v>0</v>
      </c>
      <c r="O18" s="67" t="e">
        <f>+M18/O4</f>
        <v>#DIV/0!</v>
      </c>
      <c r="P18" s="11">
        <v>0</v>
      </c>
      <c r="Q18" s="58">
        <v>0</v>
      </c>
      <c r="R18" s="67" t="e">
        <f>+P18/R4</f>
        <v>#DIV/0!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20220</v>
      </c>
      <c r="AQ18" s="67">
        <f t="shared" si="2"/>
        <v>20220</v>
      </c>
      <c r="AR18" s="67">
        <f>+AP18/AR4</f>
        <v>1685</v>
      </c>
      <c r="AS18" s="14">
        <f t="shared" ref="AS18:AT20" si="3">+AP18/$AS$4</f>
        <v>6740</v>
      </c>
      <c r="AT18" s="67">
        <f t="shared" si="3"/>
        <v>6740</v>
      </c>
      <c r="AU18" s="67">
        <f>+AS18/AU4</f>
        <v>561.66666666666663</v>
      </c>
    </row>
    <row r="19" spans="2:47">
      <c r="B19" s="18" t="s">
        <v>35</v>
      </c>
      <c r="C19" s="17"/>
      <c r="D19" s="11">
        <v>630.98</v>
      </c>
      <c r="E19" s="58">
        <v>630.98</v>
      </c>
      <c r="F19" s="67">
        <f>+D19/F4</f>
        <v>52.581666666666671</v>
      </c>
      <c r="G19" s="11">
        <v>352.93</v>
      </c>
      <c r="H19" s="11">
        <v>352.93</v>
      </c>
      <c r="I19" s="67">
        <f>+G19/I4</f>
        <v>29.410833333333333</v>
      </c>
      <c r="J19" s="11">
        <v>506.26</v>
      </c>
      <c r="K19" s="58">
        <v>506.26</v>
      </c>
      <c r="L19" s="67">
        <f>+J19/L4</f>
        <v>42.188333333333333</v>
      </c>
      <c r="M19" s="11">
        <v>0</v>
      </c>
      <c r="N19" s="58">
        <v>0</v>
      </c>
      <c r="O19" s="67" t="e">
        <f>+M19/O4</f>
        <v>#DIV/0!</v>
      </c>
      <c r="P19" s="11">
        <v>0</v>
      </c>
      <c r="Q19" s="58">
        <v>0</v>
      </c>
      <c r="R19" s="67" t="e">
        <f>+P19/R4</f>
        <v>#DIV/0!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1490.17</v>
      </c>
      <c r="AQ19" s="67">
        <f t="shared" si="2"/>
        <v>1490.17</v>
      </c>
      <c r="AR19" s="67">
        <f>+AP19/AR4</f>
        <v>124.18083333333334</v>
      </c>
      <c r="AS19" s="14">
        <f t="shared" si="3"/>
        <v>496.72333333333336</v>
      </c>
      <c r="AT19" s="67">
        <f t="shared" si="3"/>
        <v>496.72333333333336</v>
      </c>
      <c r="AU19" s="67">
        <f>+AS19/AU4</f>
        <v>41.393611111111113</v>
      </c>
    </row>
    <row r="20" spans="2:47">
      <c r="B20" s="18" t="s">
        <v>29</v>
      </c>
      <c r="C20" s="17"/>
      <c r="D20" s="11">
        <f>22.74836+2.8926</f>
        <v>25.64096</v>
      </c>
      <c r="E20" s="59">
        <v>19.398710000000001</v>
      </c>
      <c r="F20" s="67">
        <f>+D20/F4</f>
        <v>2.1367466666666668</v>
      </c>
      <c r="G20" s="11">
        <f>17.79883+1.9259</f>
        <v>19.724729999999997</v>
      </c>
      <c r="H20" s="59">
        <v>10.754799999999999</v>
      </c>
      <c r="I20" s="67">
        <f>+G20/I4</f>
        <v>1.6437274999999998</v>
      </c>
      <c r="J20" s="11">
        <f>22.38244+3.9275</f>
        <v>26.309939999999997</v>
      </c>
      <c r="K20" s="59">
        <v>15.557</v>
      </c>
      <c r="L20" s="67">
        <f>+J20/L4</f>
        <v>2.1924949999999996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71.675629999999984</v>
      </c>
      <c r="AQ20" s="67">
        <f t="shared" si="2"/>
        <v>45.710509999999999</v>
      </c>
      <c r="AR20" s="67">
        <f>+AP20/AR4</f>
        <v>5.9729691666666653</v>
      </c>
      <c r="AS20" s="14">
        <f t="shared" si="3"/>
        <v>23.891876666666661</v>
      </c>
      <c r="AT20" s="67">
        <f t="shared" si="3"/>
        <v>15.236836666666667</v>
      </c>
      <c r="AU20" s="67">
        <f>+AS20/AU4</f>
        <v>1.9909897222222217</v>
      </c>
    </row>
    <row r="21" spans="2:47">
      <c r="B21" s="19" t="s">
        <v>19</v>
      </c>
      <c r="C21" s="17"/>
      <c r="D21" s="44">
        <f t="shared" ref="D21:E21" si="4">+D20/D19*1000</f>
        <v>40.636723826428728</v>
      </c>
      <c r="E21" s="60">
        <f t="shared" si="4"/>
        <v>30.743779517575835</v>
      </c>
      <c r="F21" s="60"/>
      <c r="G21" s="44">
        <f t="shared" ref="G21:H21" si="5">+G20/G19*1000</f>
        <v>55.888504802652072</v>
      </c>
      <c r="H21" s="60">
        <f t="shared" si="5"/>
        <v>30.472898308446432</v>
      </c>
      <c r="I21" s="60"/>
      <c r="J21" s="44">
        <f t="shared" ref="J21:K21" si="6">+J20/J19*1000</f>
        <v>51.969225299253345</v>
      </c>
      <c r="K21" s="60">
        <f t="shared" si="6"/>
        <v>30.729269545292933</v>
      </c>
      <c r="L21" s="60"/>
      <c r="M21" s="44" t="e">
        <f t="shared" ref="M21:N21" si="7">+M20/M19*1000</f>
        <v>#DIV/0!</v>
      </c>
      <c r="N21" s="60" t="e">
        <f t="shared" si="7"/>
        <v>#DIV/0!</v>
      </c>
      <c r="O21" s="60"/>
      <c r="P21" s="44" t="e">
        <f t="shared" ref="P21:Q21" si="8">+P20/P19*1000</f>
        <v>#DIV/0!</v>
      </c>
      <c r="Q21" s="60" t="e">
        <f t="shared" si="8"/>
        <v>#DIV/0!</v>
      </c>
      <c r="R21" s="60"/>
      <c r="S21" s="44" t="e">
        <f t="shared" ref="S21:T21" si="9">+S20/S19*1000</f>
        <v>#DIV/0!</v>
      </c>
      <c r="T21" s="60" t="e">
        <f t="shared" si="9"/>
        <v>#DIV/0!</v>
      </c>
      <c r="U21" s="60"/>
      <c r="V21" s="44" t="e">
        <f t="shared" ref="V21" si="10">+V20/V19*1000</f>
        <v>#DIV/0!</v>
      </c>
      <c r="W21" s="60" t="e">
        <f t="shared" ref="W21:AC21" si="11">+W20/W19*1000</f>
        <v>#DIV/0!</v>
      </c>
      <c r="X21" s="60"/>
      <c r="Y21" s="44" t="e">
        <f t="shared" ref="Y21" si="12">+Y20/Y19*1000</f>
        <v>#DIV/0!</v>
      </c>
      <c r="Z21" s="68" t="e">
        <f t="shared" si="11"/>
        <v>#DIV/0!</v>
      </c>
      <c r="AA21" s="68"/>
      <c r="AB21" s="44" t="e">
        <f t="shared" si="11"/>
        <v>#DIV/0!</v>
      </c>
      <c r="AC21" s="60" t="e">
        <f t="shared" si="11"/>
        <v>#DIV/0!</v>
      </c>
      <c r="AD21" s="68"/>
      <c r="AE21" s="44" t="e">
        <f t="shared" ref="AE21:AF21" si="13">+AE20/AE19*1000</f>
        <v>#DIV/0!</v>
      </c>
      <c r="AF21" s="60" t="e">
        <f t="shared" si="13"/>
        <v>#DIV/0!</v>
      </c>
      <c r="AG21" s="68"/>
      <c r="AH21" s="44" t="e">
        <f t="shared" ref="AH21:AI21" si="14">+AH20/AH19*1000</f>
        <v>#DIV/0!</v>
      </c>
      <c r="AI21" s="60" t="e">
        <f t="shared" si="14"/>
        <v>#DIV/0!</v>
      </c>
      <c r="AJ21" s="68"/>
      <c r="AK21" s="44" t="e">
        <f t="shared" ref="AK21:AL21" si="15">+AK20/AK19*1000</f>
        <v>#DIV/0!</v>
      </c>
      <c r="AL21" s="44" t="e">
        <f t="shared" si="15"/>
        <v>#DIV/0!</v>
      </c>
      <c r="AM21" s="17"/>
      <c r="AN21" s="17"/>
      <c r="AO21" s="17"/>
      <c r="AP21" s="45">
        <f>+AP20/AP19*1000</f>
        <v>48.098961863411546</v>
      </c>
      <c r="AQ21" s="68">
        <f>+AQ20/AQ19*1000</f>
        <v>30.674694833475375</v>
      </c>
      <c r="AR21" s="60"/>
      <c r="AS21" s="45">
        <f>+AS20/AS19*1000</f>
        <v>48.098961863411546</v>
      </c>
      <c r="AT21" s="68">
        <f>+AT20/AT19*1000</f>
        <v>30.674694833475375</v>
      </c>
    </row>
    <row r="22" spans="2:47">
      <c r="B22" s="19" t="s">
        <v>23</v>
      </c>
      <c r="C22" s="17"/>
      <c r="D22" s="46">
        <f>+D19/D18</f>
        <v>8.3067403896787781E-2</v>
      </c>
      <c r="E22" s="46">
        <f>+E19/E18</f>
        <v>8.3067403896787781E-2</v>
      </c>
      <c r="F22" s="61"/>
      <c r="G22" s="46">
        <f>+G19/G18</f>
        <v>5.5102263856362216E-2</v>
      </c>
      <c r="H22" s="46">
        <f>+H19/H18</f>
        <v>5.5102263856362216E-2</v>
      </c>
      <c r="I22" s="61"/>
      <c r="J22" s="46">
        <f>+J19/J18</f>
        <v>8.1405370638366295E-2</v>
      </c>
      <c r="K22" s="46">
        <f>+K19/K18</f>
        <v>8.1405370638366295E-2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7.3697823936696341E-2</v>
      </c>
      <c r="AQ22" s="46">
        <f>+AQ19/AQ18</f>
        <v>7.3697823936696341E-2</v>
      </c>
      <c r="AR22" s="69"/>
      <c r="AS22" s="47">
        <f>+AS19/AS18</f>
        <v>7.3697823936696341E-2</v>
      </c>
      <c r="AT22" s="46">
        <f>+AT19/AT18</f>
        <v>7.3697823936696341E-2</v>
      </c>
    </row>
    <row r="23" spans="2:47">
      <c r="B23" s="10" t="s">
        <v>30</v>
      </c>
      <c r="C23" s="10"/>
      <c r="D23" s="48">
        <f>+D20*1000/(D18*D21)*100</f>
        <v>8.3067403896787777</v>
      </c>
      <c r="E23" s="48">
        <f>+E20*1000/(E18*E21)*100</f>
        <v>8.3067403896787795</v>
      </c>
      <c r="F23" s="62"/>
      <c r="G23" s="48">
        <f>+G20*1000/(G18*G21)*100</f>
        <v>5.5102263856362219</v>
      </c>
      <c r="H23" s="48">
        <f>+H20*1000/(H18*H21)*100</f>
        <v>5.5102263856362219</v>
      </c>
      <c r="I23" s="62"/>
      <c r="J23" s="48">
        <f>+J20*1000/(J18*J21)*100</f>
        <v>8.1405370638366303</v>
      </c>
      <c r="K23" s="48">
        <f>+K20*1000/(K18*K21)*100</f>
        <v>8.1405370638366303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7.3697823936696345</v>
      </c>
      <c r="AQ23" s="48">
        <f>+AQ20*1000/(AQ18*AQ21)*100</f>
        <v>7.3697823936696345</v>
      </c>
      <c r="AR23" s="70"/>
      <c r="AS23" s="49">
        <f>+AS20/(AS18*AS21)*1000*100</f>
        <v>7.3697823936696327</v>
      </c>
      <c r="AT23" s="48">
        <f>+AT20*1000/(AT18*AT21)*100</f>
        <v>7.3697823936696345</v>
      </c>
    </row>
    <row r="24" spans="2:47">
      <c r="B24" s="19" t="s">
        <v>39</v>
      </c>
      <c r="C24" s="10"/>
      <c r="D24" s="49">
        <f>+D20/D18*1000</f>
        <v>3.3755871511321747</v>
      </c>
      <c r="E24" s="48">
        <f>+E20/E18*1000</f>
        <v>2.5538059505002635</v>
      </c>
      <c r="F24" s="62"/>
      <c r="G24" s="49">
        <f>+G20/G18*1000</f>
        <v>3.0795831381733016</v>
      </c>
      <c r="H24" s="48">
        <f>+H20/H18*1000</f>
        <v>1.6791256830601091</v>
      </c>
      <c r="I24" s="62"/>
      <c r="J24" s="49">
        <f>+J20/J18*1000</f>
        <v>4.2305740472744811</v>
      </c>
      <c r="K24" s="48">
        <f>+K20/K18*1000</f>
        <v>2.5015275767808332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3.5447888229475759</v>
      </c>
      <c r="AQ24" s="48">
        <f>+AQ20/AQ18*1000</f>
        <v>2.2606582591493569</v>
      </c>
      <c r="AR24" s="70"/>
      <c r="AS24" s="49">
        <f>+AS20/AS18*1000</f>
        <v>3.5447888229475759</v>
      </c>
      <c r="AT24" s="48">
        <f>+AT20/AT18*1000</f>
        <v>2.2606582591493569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380.37523721337863</v>
      </c>
      <c r="E26" s="63"/>
      <c r="F26" s="63"/>
      <c r="G26" s="22">
        <f>+G8/(1-G6/G5)</f>
        <v>379.12198432465129</v>
      </c>
      <c r="H26" s="63"/>
      <c r="I26" s="63"/>
      <c r="J26" s="22">
        <f>+J8/(1-J6/J5)</f>
        <v>376.08254748419876</v>
      </c>
      <c r="K26" s="63"/>
      <c r="L26" s="63"/>
      <c r="M26" s="22" t="e">
        <f>+M8/(1-M6/M5)</f>
        <v>#DIV/0!</v>
      </c>
      <c r="N26" s="63"/>
      <c r="O26" s="63"/>
      <c r="P26" s="22" t="e">
        <f>+P8/(1-P6/P5)</f>
        <v>#DIV/0!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1132.9832827802184</v>
      </c>
      <c r="AQ26" s="71"/>
      <c r="AR26" s="71"/>
      <c r="AS26" s="32">
        <f>+AS8/(1-AS6/AS5)</f>
        <v>377.66109426007279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CoY</vt:lpstr>
      <vt:lpstr>CoM</vt:lpstr>
      <vt:lpstr>2014</vt:lpstr>
      <vt:lpstr>2015</vt:lpstr>
      <vt:lpstr>'2014'!Oblast_tisku</vt:lpstr>
      <vt:lpstr>'2015'!Oblast_tisku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2014-12-09T08:40:33Z</cp:lastPrinted>
  <dcterms:created xsi:type="dcterms:W3CDTF">2014-10-14T11:21:48Z</dcterms:created>
  <dcterms:modified xsi:type="dcterms:W3CDTF">2015-04-21T08:54:57Z</dcterms:modified>
</cp:coreProperties>
</file>