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'2014'!$B$1:$AU$26</definedName>
    <definedName name="_xlnm.Print_Area" localSheetId="3">'2015'!$B$1:$AU$26</definedName>
  </definedNames>
  <calcPr calcId="125725"/>
</workbook>
</file>

<file path=xl/calcChain.xml><?xml version="1.0" encoding="utf-8"?>
<calcChain xmlns="http://schemas.openxmlformats.org/spreadsheetml/2006/main">
  <c r="AB20" i="1"/>
  <c r="AB6"/>
  <c r="AB5"/>
  <c r="AB20" i="7"/>
  <c r="AB6"/>
  <c r="H20" i="6" l="1"/>
  <c r="H19"/>
  <c r="H18"/>
  <c r="G20"/>
  <c r="G19"/>
  <c r="G18"/>
  <c r="G12"/>
  <c r="G11"/>
  <c r="G8"/>
  <c r="G6"/>
  <c r="G5"/>
  <c r="I4"/>
  <c r="F4"/>
  <c r="E20"/>
  <c r="E19"/>
  <c r="E18"/>
  <c r="D20"/>
  <c r="D19"/>
  <c r="D18"/>
  <c r="D12"/>
  <c r="D11"/>
  <c r="D8"/>
  <c r="D6"/>
  <c r="D5"/>
  <c r="Y20" i="1" l="1"/>
  <c r="Y6"/>
  <c r="Y5"/>
  <c r="Y20" i="7"/>
  <c r="Y6"/>
  <c r="Y5"/>
  <c r="V20" i="1"/>
  <c r="V6"/>
  <c r="V5"/>
  <c r="V20" i="7"/>
  <c r="V6"/>
  <c r="V5"/>
  <c r="S6" i="1" l="1"/>
  <c r="S5"/>
  <c r="S20" i="7"/>
  <c r="S6"/>
  <c r="S5"/>
  <c r="P20" l="1"/>
  <c r="P6"/>
  <c r="P5"/>
  <c r="P20" i="1"/>
  <c r="P6"/>
  <c r="P5"/>
  <c r="M20" i="7" l="1"/>
  <c r="M6"/>
  <c r="M5"/>
  <c r="M20" i="1"/>
  <c r="M6"/>
  <c r="M5"/>
  <c r="J20" i="7"/>
  <c r="J6"/>
  <c r="J20" i="1" l="1"/>
  <c r="J6"/>
  <c r="J5"/>
  <c r="G20" i="7" l="1"/>
  <c r="G6"/>
  <c r="AP11"/>
  <c r="AS11" s="1"/>
  <c r="AP11" i="1"/>
  <c r="AS11" s="1"/>
  <c r="G20"/>
  <c r="G6"/>
  <c r="G5"/>
  <c r="D20" i="7"/>
  <c r="D6"/>
  <c r="D5"/>
  <c r="D20" i="1"/>
  <c r="D6"/>
  <c r="D5"/>
  <c r="AK26" i="7" l="1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AM19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L9"/>
  <c r="AK9"/>
  <c r="AH9"/>
  <c r="AI9" s="1"/>
  <c r="AF9"/>
  <c r="AE9"/>
  <c r="AB9"/>
  <c r="AC9" s="1"/>
  <c r="Y9"/>
  <c r="Z9" s="1"/>
  <c r="V9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L7"/>
  <c r="AK7"/>
  <c r="AK16" s="1"/>
  <c r="AH7"/>
  <c r="AH16" s="1"/>
  <c r="AF7"/>
  <c r="AE7"/>
  <c r="AE16" s="1"/>
  <c r="AB7"/>
  <c r="Y7"/>
  <c r="V7"/>
  <c r="S7"/>
  <c r="T7" s="1"/>
  <c r="P7"/>
  <c r="M7"/>
  <c r="N7" s="1"/>
  <c r="J7"/>
  <c r="G7"/>
  <c r="G16" s="1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H5"/>
  <c r="F5"/>
  <c r="F9" s="1"/>
  <c r="E5"/>
  <c r="AR4"/>
  <c r="AU4" s="1"/>
  <c r="AB16" l="1"/>
  <c r="D7" i="6"/>
  <c r="Y16" i="7"/>
  <c r="Z7"/>
  <c r="V16"/>
  <c r="W9"/>
  <c r="D26" i="6"/>
  <c r="S16" i="7"/>
  <c r="P16"/>
  <c r="M16"/>
  <c r="I9"/>
  <c r="J16"/>
  <c r="H7"/>
  <c r="AR6"/>
  <c r="F4" i="5"/>
  <c r="AR18" i="7"/>
  <c r="E18" i="5"/>
  <c r="D18"/>
  <c r="AP22" i="7"/>
  <c r="AP24"/>
  <c r="E20" i="5"/>
  <c r="E19"/>
  <c r="D19"/>
  <c r="D20"/>
  <c r="D11"/>
  <c r="D6"/>
  <c r="AP26" i="7"/>
  <c r="D5" i="5"/>
  <c r="AT24" i="7"/>
  <c r="AT21"/>
  <c r="AT23" s="1"/>
  <c r="AT22"/>
  <c r="AU11"/>
  <c r="AR5"/>
  <c r="AQ6"/>
  <c r="AS6"/>
  <c r="AU6" s="1"/>
  <c r="F7"/>
  <c r="L7"/>
  <c r="R7"/>
  <c r="X7"/>
  <c r="AD7"/>
  <c r="AJ7"/>
  <c r="AP7"/>
  <c r="AQ8"/>
  <c r="AS8"/>
  <c r="AP9"/>
  <c r="AR11"/>
  <c r="AR12"/>
  <c r="AS18"/>
  <c r="AU18" s="1"/>
  <c r="AS19"/>
  <c r="AS20"/>
  <c r="AQ21"/>
  <c r="AQ22"/>
  <c r="AQ23"/>
  <c r="AQ24"/>
  <c r="AQ5"/>
  <c r="AS5"/>
  <c r="E7"/>
  <c r="I7"/>
  <c r="K7"/>
  <c r="O7"/>
  <c r="Q7"/>
  <c r="U7"/>
  <c r="W7"/>
  <c r="AA7"/>
  <c r="AC7"/>
  <c r="AG7"/>
  <c r="AI7"/>
  <c r="AM7"/>
  <c r="AR8"/>
  <c r="AS12"/>
  <c r="AP13"/>
  <c r="AP15"/>
  <c r="AR19"/>
  <c r="AR20"/>
  <c r="AP21"/>
  <c r="AP23" s="1"/>
  <c r="AQ20" i="1"/>
  <c r="AP20"/>
  <c r="AQ19"/>
  <c r="AP19"/>
  <c r="AQ18"/>
  <c r="AP18"/>
  <c r="AP12"/>
  <c r="AP8"/>
  <c r="AR4"/>
  <c r="AP6"/>
  <c r="AP5"/>
  <c r="E24"/>
  <c r="E22"/>
  <c r="D22"/>
  <c r="E21"/>
  <c r="E23" s="1"/>
  <c r="F20"/>
  <c r="F19"/>
  <c r="F18"/>
  <c r="D15"/>
  <c r="D14"/>
  <c r="D13"/>
  <c r="F12"/>
  <c r="F11"/>
  <c r="F8"/>
  <c r="E8"/>
  <c r="D7"/>
  <c r="E6"/>
  <c r="D9"/>
  <c r="E9" s="1"/>
  <c r="F5"/>
  <c r="E5"/>
  <c r="H24"/>
  <c r="H22"/>
  <c r="G22"/>
  <c r="H21"/>
  <c r="H23" s="1"/>
  <c r="I20"/>
  <c r="I19"/>
  <c r="I18"/>
  <c r="G15"/>
  <c r="G14"/>
  <c r="G13"/>
  <c r="I12"/>
  <c r="I11"/>
  <c r="I8"/>
  <c r="H8"/>
  <c r="G7"/>
  <c r="G16" s="1"/>
  <c r="H6"/>
  <c r="G9"/>
  <c r="H9" s="1"/>
  <c r="I5"/>
  <c r="H5"/>
  <c r="K24"/>
  <c r="K22"/>
  <c r="J22"/>
  <c r="K21"/>
  <c r="K23" s="1"/>
  <c r="L20"/>
  <c r="J24"/>
  <c r="L19"/>
  <c r="L18"/>
  <c r="J15"/>
  <c r="J14"/>
  <c r="J13"/>
  <c r="L12"/>
  <c r="L11"/>
  <c r="L8"/>
  <c r="K8"/>
  <c r="J9"/>
  <c r="K9" s="1"/>
  <c r="L5"/>
  <c r="K5"/>
  <c r="N24"/>
  <c r="N22"/>
  <c r="M22"/>
  <c r="N21"/>
  <c r="N23" s="1"/>
  <c r="O20"/>
  <c r="O19"/>
  <c r="O18"/>
  <c r="M15"/>
  <c r="M14"/>
  <c r="M13"/>
  <c r="O12"/>
  <c r="O11"/>
  <c r="O8"/>
  <c r="N8"/>
  <c r="M7"/>
  <c r="N6"/>
  <c r="M9"/>
  <c r="N9" s="1"/>
  <c r="O5"/>
  <c r="N5"/>
  <c r="Q24"/>
  <c r="Q22"/>
  <c r="P22"/>
  <c r="Q21"/>
  <c r="Q23" s="1"/>
  <c r="R20"/>
  <c r="R19"/>
  <c r="R18"/>
  <c r="P15"/>
  <c r="P14"/>
  <c r="P13"/>
  <c r="R12"/>
  <c r="R11"/>
  <c r="R8"/>
  <c r="Q8"/>
  <c r="P7"/>
  <c r="Q6"/>
  <c r="P9"/>
  <c r="Q9" s="1"/>
  <c r="R5"/>
  <c r="Q5"/>
  <c r="T24"/>
  <c r="T22"/>
  <c r="S22"/>
  <c r="T21"/>
  <c r="T23" s="1"/>
  <c r="U20"/>
  <c r="U19"/>
  <c r="U18"/>
  <c r="S15"/>
  <c r="S14"/>
  <c r="S13"/>
  <c r="U12"/>
  <c r="U11"/>
  <c r="U8"/>
  <c r="T8"/>
  <c r="S7"/>
  <c r="T6"/>
  <c r="S9"/>
  <c r="T9" s="1"/>
  <c r="U5"/>
  <c r="T5"/>
  <c r="X20"/>
  <c r="X19"/>
  <c r="X18"/>
  <c r="V22"/>
  <c r="V24"/>
  <c r="V15"/>
  <c r="V14"/>
  <c r="V13"/>
  <c r="V7"/>
  <c r="V26"/>
  <c r="AA20"/>
  <c r="AA19"/>
  <c r="AA18"/>
  <c r="Z8"/>
  <c r="Z6"/>
  <c r="Z5"/>
  <c r="Y22"/>
  <c r="Y24"/>
  <c r="Y15"/>
  <c r="Y14"/>
  <c r="Y13"/>
  <c r="Y7"/>
  <c r="Y16" s="1"/>
  <c r="Y26"/>
  <c r="W8"/>
  <c r="W7"/>
  <c r="W6"/>
  <c r="W5"/>
  <c r="AL24"/>
  <c r="AL22"/>
  <c r="AL21"/>
  <c r="AL23" s="1"/>
  <c r="V16" l="1"/>
  <c r="S16"/>
  <c r="P16"/>
  <c r="M16"/>
  <c r="D16"/>
  <c r="AS22" i="7"/>
  <c r="AU19"/>
  <c r="AS9"/>
  <c r="AQ9"/>
  <c r="AR9"/>
  <c r="AR7"/>
  <c r="AS15"/>
  <c r="AS13"/>
  <c r="AU12"/>
  <c r="AS14"/>
  <c r="AU5"/>
  <c r="AS24"/>
  <c r="AS21"/>
  <c r="AS23" s="1"/>
  <c r="AU20"/>
  <c r="AU8"/>
  <c r="AS26"/>
  <c r="AS7"/>
  <c r="AS16" s="1"/>
  <c r="AQ7"/>
  <c r="AP16"/>
  <c r="Z7" i="1"/>
  <c r="D21"/>
  <c r="D23" s="1"/>
  <c r="D24"/>
  <c r="D26"/>
  <c r="F6"/>
  <c r="F7" s="1"/>
  <c r="E7"/>
  <c r="G21"/>
  <c r="G23" s="1"/>
  <c r="G24"/>
  <c r="G26"/>
  <c r="I6"/>
  <c r="I7" s="1"/>
  <c r="H7"/>
  <c r="K6"/>
  <c r="J7"/>
  <c r="J21"/>
  <c r="J23" s="1"/>
  <c r="J26"/>
  <c r="L6"/>
  <c r="L7" s="1"/>
  <c r="M21"/>
  <c r="M23" s="1"/>
  <c r="M24"/>
  <c r="M26"/>
  <c r="O6"/>
  <c r="O7" s="1"/>
  <c r="N7"/>
  <c r="P21"/>
  <c r="P23" s="1"/>
  <c r="P24"/>
  <c r="P26"/>
  <c r="R6"/>
  <c r="R7" s="1"/>
  <c r="Q7"/>
  <c r="S21"/>
  <c r="S23" s="1"/>
  <c r="S24"/>
  <c r="S26"/>
  <c r="U6"/>
  <c r="U7" s="1"/>
  <c r="T7"/>
  <c r="V9"/>
  <c r="W9" s="1"/>
  <c r="V21"/>
  <c r="V23" s="1"/>
  <c r="Y9"/>
  <c r="Z9" s="1"/>
  <c r="Y21"/>
  <c r="Y23" s="1"/>
  <c r="AK24"/>
  <c r="AK22"/>
  <c r="AK21"/>
  <c r="AK23" s="1"/>
  <c r="AM20"/>
  <c r="AM19"/>
  <c r="AM18"/>
  <c r="AM12"/>
  <c r="AM11"/>
  <c r="AM6"/>
  <c r="AM5"/>
  <c r="AU9" i="7" l="1"/>
  <c r="AU7"/>
  <c r="AM7" i="1"/>
  <c r="F9"/>
  <c r="I9"/>
  <c r="J16"/>
  <c r="K7"/>
  <c r="L9"/>
  <c r="O9"/>
  <c r="R9"/>
  <c r="U9"/>
  <c r="AK15"/>
  <c r="AK14"/>
  <c r="AK13"/>
  <c r="AL6"/>
  <c r="AL5"/>
  <c r="AK7"/>
  <c r="AJ20"/>
  <c r="AI6"/>
  <c r="AI8"/>
  <c r="AI5"/>
  <c r="AI24"/>
  <c r="AI22"/>
  <c r="AH22"/>
  <c r="AI21"/>
  <c r="AI23" s="1"/>
  <c r="AH24"/>
  <c r="AJ19"/>
  <c r="AJ18"/>
  <c r="AH15"/>
  <c r="AH14"/>
  <c r="AJ12"/>
  <c r="AJ11"/>
  <c r="AJ8"/>
  <c r="AH26"/>
  <c r="AH13"/>
  <c r="AK26" l="1"/>
  <c r="AM8"/>
  <c r="AM9" s="1"/>
  <c r="AK9"/>
  <c r="AL9" s="1"/>
  <c r="AL8"/>
  <c r="AK16"/>
  <c r="AL7"/>
  <c r="AJ6"/>
  <c r="AH9"/>
  <c r="AI9" s="1"/>
  <c r="AJ5"/>
  <c r="AH7"/>
  <c r="AI7" s="1"/>
  <c r="AH21"/>
  <c r="AH23" s="1"/>
  <c r="AE24"/>
  <c r="AF8"/>
  <c r="AF6"/>
  <c r="AF24"/>
  <c r="AF22"/>
  <c r="AE22"/>
  <c r="AF21"/>
  <c r="AF23" s="1"/>
  <c r="AG20"/>
  <c r="AG19"/>
  <c r="AG18"/>
  <c r="AE15"/>
  <c r="AE13"/>
  <c r="AG12"/>
  <c r="AG11"/>
  <c r="AG8"/>
  <c r="AE9"/>
  <c r="AF9" s="1"/>
  <c r="AG5"/>
  <c r="AH16" l="1"/>
  <c r="AJ9"/>
  <c r="AJ7"/>
  <c r="AE14"/>
  <c r="AF5"/>
  <c r="AE7"/>
  <c r="AF7" s="1"/>
  <c r="AE21"/>
  <c r="AE23" s="1"/>
  <c r="AE26"/>
  <c r="AG6"/>
  <c r="AG7" s="1"/>
  <c r="AE16" l="1"/>
  <c r="AG9"/>
  <c r="AC22"/>
  <c r="Z22"/>
  <c r="W22"/>
  <c r="I4" i="5"/>
  <c r="AD20" i="1"/>
  <c r="AD19"/>
  <c r="AD18"/>
  <c r="AD12"/>
  <c r="AD11"/>
  <c r="AD8"/>
  <c r="AD6"/>
  <c r="AD5"/>
  <c r="X12"/>
  <c r="X11"/>
  <c r="X8"/>
  <c r="X6"/>
  <c r="X5"/>
  <c r="AC24"/>
  <c r="AB24"/>
  <c r="Z24"/>
  <c r="W24"/>
  <c r="AA12"/>
  <c r="AA11"/>
  <c r="AA8"/>
  <c r="AA6"/>
  <c r="AA5"/>
  <c r="AD9" l="1"/>
  <c r="X9"/>
  <c r="AA9"/>
  <c r="AU4"/>
  <c r="AD7"/>
  <c r="X7"/>
  <c r="AA7"/>
  <c r="H22" i="6" l="1"/>
  <c r="I19"/>
  <c r="I18"/>
  <c r="I12"/>
  <c r="I11"/>
  <c r="I8"/>
  <c r="I6"/>
  <c r="I5"/>
  <c r="F19"/>
  <c r="F18"/>
  <c r="F11"/>
  <c r="F12"/>
  <c r="F8"/>
  <c r="F5"/>
  <c r="AR6" i="1"/>
  <c r="AC8"/>
  <c r="AC6"/>
  <c r="AC5"/>
  <c r="AR11"/>
  <c r="AB22"/>
  <c r="AC21"/>
  <c r="AC23" s="1"/>
  <c r="AB15"/>
  <c r="AB14"/>
  <c r="AB13"/>
  <c r="AB9"/>
  <c r="G11" i="5"/>
  <c r="I11" s="1"/>
  <c r="AU11" i="1"/>
  <c r="H18" i="5"/>
  <c r="AR8" i="1"/>
  <c r="W21"/>
  <c r="W23" s="1"/>
  <c r="AC9" l="1"/>
  <c r="AP9"/>
  <c r="AQ22"/>
  <c r="G5" i="5"/>
  <c r="I5" s="1"/>
  <c r="AR5" i="1"/>
  <c r="AS18"/>
  <c r="AU18" s="1"/>
  <c r="AR18"/>
  <c r="H20" i="5"/>
  <c r="H24" s="1"/>
  <c r="AQ24" i="1"/>
  <c r="G12" i="5"/>
  <c r="I12" s="1"/>
  <c r="AR12" i="1"/>
  <c r="G19" i="5"/>
  <c r="I19" s="1"/>
  <c r="AR19" i="1"/>
  <c r="F12" i="5"/>
  <c r="F8"/>
  <c r="F20"/>
  <c r="F11"/>
  <c r="L11" s="1"/>
  <c r="L5" i="6"/>
  <c r="I9"/>
  <c r="I7"/>
  <c r="H24"/>
  <c r="E22"/>
  <c r="L8"/>
  <c r="L12"/>
  <c r="L19"/>
  <c r="F20"/>
  <c r="D24"/>
  <c r="E24"/>
  <c r="G24"/>
  <c r="I20"/>
  <c r="L20" s="1"/>
  <c r="L11"/>
  <c r="L18"/>
  <c r="F6"/>
  <c r="F9" s="1"/>
  <c r="E7"/>
  <c r="E21" i="5"/>
  <c r="AB26" i="1"/>
  <c r="AB21"/>
  <c r="AB23" s="1"/>
  <c r="AB7"/>
  <c r="D15" i="5"/>
  <c r="E24"/>
  <c r="F18"/>
  <c r="F19"/>
  <c r="F6"/>
  <c r="D14" i="6"/>
  <c r="J18"/>
  <c r="J11" i="5"/>
  <c r="E6" i="6"/>
  <c r="D22"/>
  <c r="AQ21" i="1"/>
  <c r="AQ23" s="1"/>
  <c r="K11" i="5"/>
  <c r="AS6" i="1"/>
  <c r="AU6" s="1"/>
  <c r="AQ6"/>
  <c r="G6" i="5"/>
  <c r="I6" s="1"/>
  <c r="G14"/>
  <c r="AS8" i="1"/>
  <c r="AU8" s="1"/>
  <c r="AP26"/>
  <c r="AQ8"/>
  <c r="G8" i="5"/>
  <c r="I8" s="1"/>
  <c r="K12"/>
  <c r="J12"/>
  <c r="AQ5" i="1"/>
  <c r="AP13"/>
  <c r="AP15"/>
  <c r="AP22"/>
  <c r="AS5"/>
  <c r="AS12"/>
  <c r="AU12" s="1"/>
  <c r="AS19"/>
  <c r="AT19"/>
  <c r="G18" i="5"/>
  <c r="H19"/>
  <c r="H21" s="1"/>
  <c r="AP14" i="1"/>
  <c r="AT18"/>
  <c r="AT20"/>
  <c r="H21" i="6"/>
  <c r="H23" s="1"/>
  <c r="E21"/>
  <c r="E23" s="1"/>
  <c r="J19"/>
  <c r="J11"/>
  <c r="E5"/>
  <c r="E8"/>
  <c r="K11"/>
  <c r="K18"/>
  <c r="K19"/>
  <c r="G22"/>
  <c r="D9"/>
  <c r="E9" s="1"/>
  <c r="D13"/>
  <c r="D15"/>
  <c r="D21"/>
  <c r="H5" i="5"/>
  <c r="G15"/>
  <c r="Z21" i="1"/>
  <c r="Z23" s="1"/>
  <c r="G21" i="6"/>
  <c r="G23" s="1"/>
  <c r="J12"/>
  <c r="K5"/>
  <c r="AP7" i="1" l="1"/>
  <c r="G7" i="6"/>
  <c r="L8" i="5"/>
  <c r="G13"/>
  <c r="L12"/>
  <c r="K19"/>
  <c r="L19"/>
  <c r="AT24" i="1"/>
  <c r="AS22"/>
  <c r="AU19"/>
  <c r="AS14"/>
  <c r="AU5"/>
  <c r="AP24"/>
  <c r="AR20"/>
  <c r="AR9"/>
  <c r="AR7"/>
  <c r="AT22"/>
  <c r="L6" i="6"/>
  <c r="L6" i="5"/>
  <c r="G22"/>
  <c r="I18"/>
  <c r="L18" s="1"/>
  <c r="D13"/>
  <c r="J13" s="1"/>
  <c r="F5"/>
  <c r="J24" i="6"/>
  <c r="K24"/>
  <c r="D24" i="5"/>
  <c r="L9" i="6"/>
  <c r="I9" i="5"/>
  <c r="I7"/>
  <c r="F7" i="6"/>
  <c r="L7" s="1"/>
  <c r="J5" i="5"/>
  <c r="AC7" i="1"/>
  <c r="D7" i="5"/>
  <c r="E8"/>
  <c r="E6"/>
  <c r="K5"/>
  <c r="D22"/>
  <c r="J19"/>
  <c r="AB16" i="1"/>
  <c r="K6" i="5"/>
  <c r="D21"/>
  <c r="D23" s="1"/>
  <c r="D9"/>
  <c r="E9" s="1"/>
  <c r="D26"/>
  <c r="D14"/>
  <c r="K14" s="1"/>
  <c r="E5"/>
  <c r="K20" i="6"/>
  <c r="L21"/>
  <c r="AT21" i="1"/>
  <c r="AT23" s="1"/>
  <c r="G7" i="5"/>
  <c r="K18"/>
  <c r="J18"/>
  <c r="AS20" i="1"/>
  <c r="AP21"/>
  <c r="AP23" s="1"/>
  <c r="G20" i="5"/>
  <c r="K8"/>
  <c r="J8"/>
  <c r="J8" i="6"/>
  <c r="K15" i="5"/>
  <c r="J15"/>
  <c r="K13"/>
  <c r="M21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G26"/>
  <c r="H8"/>
  <c r="J22" l="1"/>
  <c r="AS21" i="1"/>
  <c r="AS23" s="1"/>
  <c r="AS24"/>
  <c r="AU20"/>
  <c r="AU7"/>
  <c r="AU9"/>
  <c r="K22" i="5"/>
  <c r="G24"/>
  <c r="I20"/>
  <c r="L20" s="1"/>
  <c r="F7"/>
  <c r="L7" s="1"/>
  <c r="F9"/>
  <c r="L9" s="1"/>
  <c r="L5"/>
  <c r="K7"/>
  <c r="K14" i="6"/>
  <c r="E7" i="5"/>
  <c r="D16"/>
  <c r="K15" i="6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26" l="1"/>
  <c r="J26"/>
  <c r="K16"/>
  <c r="J16"/>
  <c r="H9"/>
  <c r="J9"/>
  <c r="K9"/>
</calcChain>
</file>

<file path=xl/sharedStrings.xml><?xml version="1.0" encoding="utf-8"?>
<sst xmlns="http://schemas.openxmlformats.org/spreadsheetml/2006/main" count="326" uniqueCount="65">
  <si>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</si>
  <si>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</si>
  <si>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</si>
  <si>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</si>
  <si>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</si>
  <si>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</si>
  <si>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</si>
  <si>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</si>
  <si>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</si>
  <si>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</si>
  <si>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</si>
  <si>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</si>
  <si>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</si>
  <si>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</si>
  <si>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</si>
  <si>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</si>
  <si>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</si>
  <si>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</si>
  <si>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</si>
  <si>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</si>
  <si>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</si>
  <si>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</si>
  <si>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doprava osobní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</si>
  <si>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</si>
  <si>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</si>
  <si>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</si>
  <si>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</si>
  <si>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</si>
  <si>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</si>
  <si>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</si>
  <si>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</si>
  <si>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</si>
  <si>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</si>
  <si>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</si>
  <si>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BOD ZLOMU 9403</t>
  </si>
  <si>
    <t>PHM v litrech</t>
  </si>
  <si>
    <t>Průměrné ON na osobu</t>
  </si>
  <si>
    <t>počet</t>
  </si>
  <si>
    <t>vozů</t>
  </si>
  <si>
    <t>PHM Kč/km</t>
  </si>
  <si>
    <t>VOZY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</si>
  <si>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</si>
  <si>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</si>
  <si>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</si>
  <si>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</si>
  <si>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</si>
  <si>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</si>
  <si>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</si>
  <si>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</si>
  <si>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</si>
  <si>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</si>
  <si>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</si>
  <si>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</si>
  <si>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</si>
  <si>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</si>
  <si>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</si>
  <si>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</si>
  <si>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</si>
  <si>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</si>
  <si>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</si>
  <si>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</si>
  <si>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</si>
  <si>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</si>
  <si>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 xml:space="preserve"> 1 - 9 2014</t>
  </si>
  <si>
    <t xml:space="preserve"> 1 - 9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</si>
</sst>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1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0" fontId="15" fillId="0" borderId="0" xfId="0" applyFont="1"/>
    <xf numFmtId="3" fontId="22" fillId="0" borderId="0" xfId="0" applyNumberFormat="1" applyFont="1" applyAlignment="1"/>
    <xf numFmtId="3" fontId="24" fillId="0" borderId="0" xfId="0" applyNumberFormat="1" applyFont="1"/>
    <xf numFmtId="166" fontId="25" fillId="0" borderId="0" xfId="0" applyNumberFormat="1" applyFont="1" applyAlignment="1"/>
    <xf numFmtId="4" fontId="21" fillId="0" borderId="0" xfId="0" applyNumberFormat="1" applyFont="1"/>
    <xf numFmtId="4" fontId="25" fillId="0" borderId="0" xfId="0" applyNumberFormat="1" applyFont="1"/>
    <xf numFmtId="0" fontId="26" fillId="0" borderId="0" xfId="0" applyFont="1"/>
    <xf numFmtId="164" fontId="21" fillId="0" borderId="0" xfId="0" applyNumberFormat="1" applyFont="1" applyBorder="1"/>
    <xf numFmtId="164" fontId="22" fillId="0" borderId="0" xfId="0" applyNumberFormat="1" applyFont="1" applyBorder="1"/>
    <xf numFmtId="164" fontId="15" fillId="0" borderId="0" xfId="0" applyNumberFormat="1" applyFont="1"/>
    <xf numFmtId="3" fontId="22" fillId="0" borderId="0" xfId="0" applyNumberFormat="1" applyFont="1"/>
    <xf numFmtId="166" fontId="21" fillId="0" borderId="0" xfId="0" applyNumberFormat="1" applyFont="1" applyBorder="1" applyAlignment="1"/>
    <xf numFmtId="2" fontId="21" fillId="0" borderId="0" xfId="0" applyNumberFormat="1" applyFont="1" applyBorder="1"/>
    <xf numFmtId="4" fontId="25" fillId="0" borderId="0" xfId="0" applyNumberFormat="1" applyFont="1" applyBorder="1"/>
    <xf numFmtId="3" fontId="27" fillId="0" borderId="0" xfId="0" applyNumberFormat="1" applyFont="1" applyBorder="1"/>
    <xf numFmtId="0" fontId="15" fillId="0" borderId="0" xfId="0" applyFont="1" applyBorder="1"/>
    <xf numFmtId="0" fontId="26" fillId="0" borderId="0" xfId="0" applyFont="1" applyBorder="1"/>
    <xf numFmtId="166" fontId="21" fillId="0" borderId="0" xfId="0" applyNumberFormat="1" applyFont="1" applyAlignment="1"/>
    <xf numFmtId="2" fontId="21" fillId="0" borderId="0" xfId="0" applyNumberFormat="1" applyFont="1"/>
    <xf numFmtId="164" fontId="28" fillId="0" borderId="1" xfId="1" applyNumberFormat="1" applyFont="1" applyBorder="1"/>
    <xf numFmtId="165" fontId="21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0" fontId="15" fillId="0" borderId="1" xfId="0" applyFont="1" applyBorder="1"/>
    <xf numFmtId="164" fontId="28" fillId="0" borderId="0" xfId="1" applyNumberFormat="1" applyFont="1" applyBorder="1"/>
    <xf numFmtId="167" fontId="21" fillId="0" borderId="0" xfId="0" applyNumberFormat="1" applyFont="1"/>
    <xf numFmtId="3" fontId="21" fillId="0" borderId="0" xfId="0" applyNumberFormat="1" applyFont="1"/>
    <xf numFmtId="3" fontId="15" fillId="0" borderId="0" xfId="0" applyNumberFormat="1" applyFont="1"/>
    <xf numFmtId="3" fontId="21" fillId="0" borderId="0" xfId="0" applyNumberFormat="1" applyFont="1" applyAlignment="1"/>
    <xf numFmtId="0" fontId="0" fillId="0" borderId="0" xfId="0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22" fillId="0" borderId="0" xfId="0" applyNumberFormat="1" applyFont="1" applyFill="1"/>
    <xf numFmtId="166" fontId="21" fillId="0" borderId="0" xfId="0" applyNumberFormat="1" applyFont="1" applyFill="1" applyAlignment="1"/>
    <xf numFmtId="4" fontId="9" fillId="0" borderId="0" xfId="0" applyNumberFormat="1" applyFont="1" applyFill="1"/>
    <xf numFmtId="4" fontId="11" fillId="0" borderId="0" xfId="0" applyNumberFormat="1" applyFont="1" applyFill="1"/>
    <xf numFmtId="1" fontId="3" fillId="0" borderId="0" xfId="0" applyNumberFormat="1" applyFont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3" fontId="12" fillId="0" borderId="0" xfId="0" applyNumberFormat="1" applyFont="1" applyFill="1" applyAlignment="1"/>
    <xf numFmtId="3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5"/>
  <cols>
    <col min="1" max="1" width="1.7109375" hidden="1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4" t="s">
        <v>26</v>
      </c>
      <c r="F3" s="3" t="s">
        <v>38</v>
      </c>
      <c r="G3" s="4" t="s">
        <v>64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88">
        <f>+'2014'!AR4</f>
        <v>14</v>
      </c>
      <c r="G4" s="23" t="s">
        <v>27</v>
      </c>
      <c r="H4" s="3" t="s">
        <v>28</v>
      </c>
      <c r="I4" s="94">
        <f>+'2015'!AR4</f>
        <v>12</v>
      </c>
      <c r="J4" s="26"/>
    </row>
    <row r="5" spans="2:21">
      <c r="B5" s="10" t="s">
        <v>3</v>
      </c>
      <c r="C5" s="17"/>
      <c r="D5" s="8">
        <f>+'2014'!AP5</f>
        <v>951.35034999999982</v>
      </c>
      <c r="E5" s="54">
        <f>+D5/$D$5</f>
        <v>1</v>
      </c>
      <c r="F5" s="84">
        <f>+D5/F4</f>
        <v>67.953596428571416</v>
      </c>
      <c r="G5" s="13">
        <f>+'2015'!AP5</f>
        <v>1011.7001899999999</v>
      </c>
      <c r="H5" s="54">
        <f>+G5/$G$5</f>
        <v>1</v>
      </c>
      <c r="I5" s="84">
        <f>+G5/I4</f>
        <v>84.308349166666659</v>
      </c>
      <c r="J5" s="76">
        <f t="shared" ref="J5:J24" si="0">+G5/D5</f>
        <v>1.0634359781336078</v>
      </c>
      <c r="K5" s="77">
        <f>+G5-D5</f>
        <v>60.349840000000086</v>
      </c>
      <c r="L5" s="77">
        <f>+I5-F5</f>
        <v>16.354752738095243</v>
      </c>
      <c r="M5" s="57"/>
    </row>
    <row r="6" spans="2:21">
      <c r="B6" s="7" t="s">
        <v>4</v>
      </c>
      <c r="C6" s="17"/>
      <c r="D6" s="11">
        <f>+'2014'!AP6</f>
        <v>579.87123000000008</v>
      </c>
      <c r="E6" s="55">
        <f>+D6/$D$5</f>
        <v>0.60952437763858514</v>
      </c>
      <c r="F6" s="67">
        <f>+D6/F4</f>
        <v>41.419373571428579</v>
      </c>
      <c r="G6" s="14">
        <f>+'2015'!AP6</f>
        <v>377.37201000000005</v>
      </c>
      <c r="H6" s="55">
        <f>+G6/$G$5</f>
        <v>0.37300774847141233</v>
      </c>
      <c r="I6" s="67">
        <f>+G6/I4</f>
        <v>31.447667500000005</v>
      </c>
      <c r="J6" s="78">
        <f t="shared" si="0"/>
        <v>0.65078588223802725</v>
      </c>
      <c r="K6" s="79">
        <f>+G6-D6</f>
        <v>-202.49922000000004</v>
      </c>
      <c r="L6" s="79">
        <f>+I6-F6</f>
        <v>-9.9717060714285743</v>
      </c>
      <c r="M6" s="57"/>
    </row>
    <row r="7" spans="2:21">
      <c r="B7" s="10" t="s">
        <v>7</v>
      </c>
      <c r="C7" s="17"/>
      <c r="D7" s="8">
        <f>+D5-D6</f>
        <v>371.47911999999974</v>
      </c>
      <c r="E7" s="56">
        <f>+D7/$D$5</f>
        <v>0.39047562236141481</v>
      </c>
      <c r="F7" s="86">
        <f>+F5-F6</f>
        <v>26.534222857142836</v>
      </c>
      <c r="G7" s="8">
        <f>+G5-G6</f>
        <v>634.32817999999986</v>
      </c>
      <c r="H7" s="56">
        <f>+G7/$G$5</f>
        <v>0.62699225152858762</v>
      </c>
      <c r="I7" s="86">
        <f>+I5-I6</f>
        <v>52.86068166666665</v>
      </c>
      <c r="J7" s="80">
        <f t="shared" si="0"/>
        <v>1.7075742507412</v>
      </c>
      <c r="K7" s="77">
        <f>+G7-D7</f>
        <v>262.84906000000012</v>
      </c>
      <c r="L7" s="77">
        <f>+I7-F7</f>
        <v>26.326458809523814</v>
      </c>
      <c r="M7" s="57"/>
    </row>
    <row r="8" spans="2:21">
      <c r="B8" s="7" t="s">
        <v>5</v>
      </c>
      <c r="C8" s="17"/>
      <c r="D8" s="11">
        <f>+'2014'!AP8</f>
        <v>1815.6078600000001</v>
      </c>
      <c r="E8" s="55">
        <f>+D8/$D$5</f>
        <v>1.908453452505694</v>
      </c>
      <c r="F8" s="67">
        <f>+D8/F4</f>
        <v>129.68627571428573</v>
      </c>
      <c r="G8" s="14">
        <f>+'2015'!AP8</f>
        <v>1906.9718900000003</v>
      </c>
      <c r="H8" s="55">
        <f>+G8/$G$5</f>
        <v>1.884917991366593</v>
      </c>
      <c r="I8" s="67">
        <f>+G8/I4</f>
        <v>158.91432416666669</v>
      </c>
      <c r="J8" s="78">
        <f t="shared" si="0"/>
        <v>1.0503214554270548</v>
      </c>
      <c r="K8" s="79">
        <f>+G8-D8</f>
        <v>91.364030000000184</v>
      </c>
      <c r="L8" s="79">
        <f>+I8-F8</f>
        <v>29.22804845238096</v>
      </c>
      <c r="M8" s="57"/>
    </row>
    <row r="9" spans="2:21">
      <c r="B9" s="19" t="s">
        <v>14</v>
      </c>
      <c r="C9" s="17"/>
      <c r="D9" s="15">
        <f>+D5-D6-D8</f>
        <v>-1444.1287400000003</v>
      </c>
      <c r="E9" s="54">
        <f>+D9/$D$5</f>
        <v>-1.5179778301442792</v>
      </c>
      <c r="F9" s="15">
        <f>+F5-F6-F8</f>
        <v>-103.15205285714289</v>
      </c>
      <c r="G9" s="15">
        <f>+G5-G6-G8</f>
        <v>-1272.6437100000003</v>
      </c>
      <c r="H9" s="54">
        <f>+G9/$G$5</f>
        <v>-1.2579257398380053</v>
      </c>
      <c r="I9" s="15">
        <f>+I5-I6-I8</f>
        <v>-106.05364250000004</v>
      </c>
      <c r="J9" s="80">
        <f t="shared" si="0"/>
        <v>0.88125364086307156</v>
      </c>
      <c r="K9" s="77">
        <f>+G9-D9</f>
        <v>171.48503000000005</v>
      </c>
      <c r="L9" s="77">
        <f>+I9-F9</f>
        <v>-2.9015896428571466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+'2014'!AP11</f>
        <v>27</v>
      </c>
      <c r="E11" s="57"/>
      <c r="F11" s="67">
        <f>+D11/F4</f>
        <v>1.9285714285714286</v>
      </c>
      <c r="G11" s="29">
        <f>+'2015'!AP11</f>
        <v>26</v>
      </c>
      <c r="H11" s="57"/>
      <c r="I11" s="67">
        <f>+G11/I4</f>
        <v>2.1666666666666665</v>
      </c>
      <c r="J11" s="78">
        <f t="shared" si="0"/>
        <v>0.96296296296296291</v>
      </c>
      <c r="K11" s="79">
        <f t="shared" ref="K11:K16" si="1">+G11-D11</f>
        <v>-1</v>
      </c>
      <c r="L11" s="79">
        <f>+I11-F11</f>
        <v>0.23809523809523792</v>
      </c>
      <c r="M11" s="57"/>
    </row>
    <row r="12" spans="2:21">
      <c r="B12" s="18" t="s">
        <v>15</v>
      </c>
      <c r="C12" s="17"/>
      <c r="D12" s="33">
        <f>+'2014'!AP12</f>
        <v>1229.223</v>
      </c>
      <c r="E12" s="57"/>
      <c r="F12" s="67">
        <f>+D12/F4</f>
        <v>87.801642857142852</v>
      </c>
      <c r="G12" s="14">
        <f>+'2015'!AP12</f>
        <v>1029.2655199999999</v>
      </c>
      <c r="H12" s="57"/>
      <c r="I12" s="67">
        <f>+G12/I4</f>
        <v>85.772126666666665</v>
      </c>
      <c r="J12" s="78">
        <f t="shared" si="0"/>
        <v>0.83733018337600251</v>
      </c>
      <c r="K12" s="79">
        <f t="shared" si="1"/>
        <v>-199.95748000000003</v>
      </c>
      <c r="L12" s="79">
        <f>+I12-F12</f>
        <v>-2.0295161904761869</v>
      </c>
      <c r="M12" s="57"/>
    </row>
    <row r="13" spans="2:21">
      <c r="B13" s="19" t="s">
        <v>20</v>
      </c>
      <c r="C13" s="17"/>
      <c r="D13" s="34">
        <f>+D12/D5</f>
        <v>1.2920823543082738</v>
      </c>
      <c r="E13" s="57"/>
      <c r="F13" s="34"/>
      <c r="G13" s="34">
        <f>+G12/G5</f>
        <v>1.0173621890888447</v>
      </c>
      <c r="H13" s="57"/>
      <c r="I13" s="34"/>
      <c r="J13" s="76">
        <f t="shared" si="0"/>
        <v>0.78738184582166004</v>
      </c>
      <c r="K13" s="54">
        <f t="shared" si="1"/>
        <v>-0.2747201652194291</v>
      </c>
      <c r="L13" s="57"/>
      <c r="M13" s="57"/>
    </row>
    <row r="14" spans="2:21">
      <c r="B14" s="19" t="s">
        <v>16</v>
      </c>
      <c r="C14" s="17"/>
      <c r="D14" s="8">
        <f>+D5/D11</f>
        <v>35.235198148148143</v>
      </c>
      <c r="E14" s="57"/>
      <c r="F14" s="8"/>
      <c r="G14" s="8">
        <f>+G5/G11</f>
        <v>38.911545769230763</v>
      </c>
      <c r="H14" s="57"/>
      <c r="I14" s="8"/>
      <c r="J14" s="76">
        <f t="shared" si="0"/>
        <v>1.1043373619079773</v>
      </c>
      <c r="K14" s="77">
        <f t="shared" si="1"/>
        <v>3.6763476210826198</v>
      </c>
      <c r="L14" s="57"/>
      <c r="M14" s="57"/>
    </row>
    <row r="15" spans="2:21">
      <c r="B15" s="10" t="s">
        <v>36</v>
      </c>
      <c r="C15" s="17"/>
      <c r="D15" s="8">
        <f>+D12/D11</f>
        <v>45.526777777777774</v>
      </c>
      <c r="E15" s="57"/>
      <c r="F15" s="8"/>
      <c r="G15" s="8">
        <f>+G12/G11</f>
        <v>39.58713538461538</v>
      </c>
      <c r="H15" s="57"/>
      <c r="I15" s="8"/>
      <c r="J15" s="76">
        <f t="shared" si="0"/>
        <v>0.86953519042892569</v>
      </c>
      <c r="K15" s="77">
        <f t="shared" si="1"/>
        <v>-5.9396423931623943</v>
      </c>
      <c r="L15" s="57"/>
      <c r="M15" s="57"/>
    </row>
    <row r="16" spans="2:21">
      <c r="B16" s="19" t="s">
        <v>21</v>
      </c>
      <c r="C16" s="17"/>
      <c r="D16" s="34">
        <f>+D12/D7</f>
        <v>3.3089962095312404</v>
      </c>
      <c r="E16" s="57"/>
      <c r="F16" s="34"/>
      <c r="G16" s="34">
        <f>+G12/G7</f>
        <v>1.622607275621903</v>
      </c>
      <c r="H16" s="57"/>
      <c r="I16" s="34"/>
      <c r="J16" s="76">
        <f t="shared" si="0"/>
        <v>0.49036238571326896</v>
      </c>
      <c r="K16" s="54">
        <f t="shared" si="1"/>
        <v>-1.6863889339093374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+'2014'!AP18</f>
        <v>99468</v>
      </c>
      <c r="E18" s="58">
        <f>+'2014'!AQ18</f>
        <v>99468</v>
      </c>
      <c r="F18" s="67">
        <f>+D18/F4</f>
        <v>7104.8571428571431</v>
      </c>
      <c r="G18" s="14">
        <f>+'2015'!AP18</f>
        <v>64366</v>
      </c>
      <c r="H18" s="67">
        <f>+'2015'!AQ18</f>
        <v>64366</v>
      </c>
      <c r="I18" s="67">
        <f>+G18/I4</f>
        <v>5363.833333333333</v>
      </c>
      <c r="J18" s="78">
        <f t="shared" si="0"/>
        <v>0.64710258575622315</v>
      </c>
      <c r="K18" s="79">
        <f t="shared" ref="K18:K24" si="2">+G18-D18</f>
        <v>-35102</v>
      </c>
      <c r="L18" s="79">
        <f>+I18-F18</f>
        <v>-1741.0238095238101</v>
      </c>
      <c r="M18" s="57"/>
    </row>
    <row r="19" spans="2:13">
      <c r="B19" s="18" t="s">
        <v>17</v>
      </c>
      <c r="C19" s="17"/>
      <c r="D19" s="11">
        <f>+'2014'!AP19</f>
        <v>6867.0599999999995</v>
      </c>
      <c r="E19" s="59">
        <f>+'2014'!AQ19</f>
        <v>6867.0599999999995</v>
      </c>
      <c r="F19" s="67">
        <f>+D19/F4</f>
        <v>490.50428571428569</v>
      </c>
      <c r="G19" s="14">
        <f>+'2015'!AP19</f>
        <v>4712.08</v>
      </c>
      <c r="H19" s="67">
        <f>+'2015'!AQ19</f>
        <v>4712.08</v>
      </c>
      <c r="I19" s="67">
        <f>+G19/I4</f>
        <v>392.67333333333335</v>
      </c>
      <c r="J19" s="78">
        <f t="shared" si="0"/>
        <v>0.68618593692205987</v>
      </c>
      <c r="K19" s="79">
        <f t="shared" si="2"/>
        <v>-2154.9799999999996</v>
      </c>
      <c r="L19" s="79">
        <f>+I19-F19</f>
        <v>-97.83095238095234</v>
      </c>
      <c r="M19" s="57"/>
    </row>
    <row r="20" spans="2:13">
      <c r="B20" s="18" t="s">
        <v>29</v>
      </c>
      <c r="C20" s="17"/>
      <c r="D20" s="11">
        <f>+'2014'!AP20</f>
        <v>275.65250000000003</v>
      </c>
      <c r="E20" s="59">
        <f>+'2014'!AQ20</f>
        <v>253.52078999999998</v>
      </c>
      <c r="F20" s="67">
        <f>+D20/F4</f>
        <v>19.689464285714287</v>
      </c>
      <c r="G20" s="14">
        <f>+'2015'!AP20</f>
        <v>192.35756000000001</v>
      </c>
      <c r="H20" s="67">
        <f>+'2015'!AQ20</f>
        <v>147.79462999999998</v>
      </c>
      <c r="I20" s="67">
        <f>+G20/I4</f>
        <v>16.029796666666666</v>
      </c>
      <c r="J20" s="78">
        <f t="shared" si="0"/>
        <v>0.69782628490581433</v>
      </c>
      <c r="K20" s="79">
        <f t="shared" si="2"/>
        <v>-83.294940000000025</v>
      </c>
      <c r="L20" s="79">
        <f>+I20-F20</f>
        <v>-3.6596676190476209</v>
      </c>
      <c r="M20" s="57"/>
    </row>
    <row r="21" spans="2:13">
      <c r="B21" s="19" t="s">
        <v>19</v>
      </c>
      <c r="C21" s="17"/>
      <c r="D21" s="44">
        <f>+D20/D19*1000</f>
        <v>40.141268606943882</v>
      </c>
      <c r="E21" s="60">
        <f>+E20/E19*1000</f>
        <v>36.918388655407114</v>
      </c>
      <c r="F21" s="60"/>
      <c r="G21" s="44">
        <f>+G20/G19*1000</f>
        <v>40.822218638053684</v>
      </c>
      <c r="H21" s="74">
        <f>+H20/H19*1000</f>
        <v>31.365051102697745</v>
      </c>
      <c r="I21" s="74"/>
      <c r="J21" s="76">
        <f t="shared" si="0"/>
        <v>1.0169638393289844</v>
      </c>
      <c r="K21" s="77">
        <f t="shared" si="2"/>
        <v>0.68095003110980201</v>
      </c>
      <c r="L21" s="82">
        <f>+H21/E21</f>
        <v>0.84957800827810448</v>
      </c>
      <c r="M21" s="83">
        <f>+H21-E21</f>
        <v>-5.5533375527093689</v>
      </c>
    </row>
    <row r="22" spans="2:13">
      <c r="B22" s="19" t="s">
        <v>23</v>
      </c>
      <c r="C22" s="17"/>
      <c r="D22" s="46">
        <f>+D19/D18</f>
        <v>6.9037881529738207E-2</v>
      </c>
      <c r="E22" s="61"/>
      <c r="F22" s="61"/>
      <c r="G22" s="53">
        <f>+G19/G18</f>
        <v>7.3207594071404161E-2</v>
      </c>
      <c r="H22" s="75"/>
      <c r="I22" s="75"/>
      <c r="J22" s="76">
        <f t="shared" si="0"/>
        <v>1.060397457877815</v>
      </c>
      <c r="K22" s="77">
        <f t="shared" si="2"/>
        <v>4.1697125416659542E-3</v>
      </c>
      <c r="L22" s="57"/>
      <c r="M22" s="57"/>
    </row>
    <row r="23" spans="2:13">
      <c r="B23" s="10" t="s">
        <v>30</v>
      </c>
      <c r="C23" s="10"/>
      <c r="D23" s="48">
        <f>+D20*1000/(D18*D21)*100</f>
        <v>6.9037881529738208</v>
      </c>
      <c r="E23" s="62"/>
      <c r="F23" s="62"/>
      <c r="G23" s="48">
        <f>+G20/(G18*G21)*1000*100</f>
        <v>7.3207594071404145</v>
      </c>
      <c r="H23" s="62"/>
      <c r="I23" s="62"/>
      <c r="J23" s="76">
        <f t="shared" si="0"/>
        <v>1.0603974578778148</v>
      </c>
      <c r="K23" s="77">
        <f t="shared" si="2"/>
        <v>0.41697125416659375</v>
      </c>
      <c r="L23" s="57"/>
      <c r="M23" s="57"/>
    </row>
    <row r="24" spans="2:13">
      <c r="B24" s="19" t="s">
        <v>39</v>
      </c>
      <c r="C24" s="10"/>
      <c r="D24" s="48">
        <f>+D20/D18*1000</f>
        <v>2.7712681465395912</v>
      </c>
      <c r="E24" s="48">
        <f>+E20/E18*1000</f>
        <v>2.5487673422608275</v>
      </c>
      <c r="F24" s="62"/>
      <c r="G24" s="48">
        <f>+G20/G18*1000</f>
        <v>2.9884964111487431</v>
      </c>
      <c r="H24" s="48">
        <f>+H20/H18*1000</f>
        <v>2.2961599291551438</v>
      </c>
      <c r="I24" s="62"/>
      <c r="J24" s="76">
        <f t="shared" si="0"/>
        <v>1.0783858699781177</v>
      </c>
      <c r="K24" s="77">
        <f t="shared" si="2"/>
        <v>0.2172282646091519</v>
      </c>
      <c r="L24" s="57"/>
      <c r="M24" s="57"/>
    </row>
    <row r="25" spans="2:13" ht="7.5" customHeight="1">
      <c r="B25" s="17"/>
      <c r="E25" s="63"/>
      <c r="F25" s="63"/>
      <c r="G25" s="12"/>
      <c r="H25" s="63"/>
      <c r="I25" s="63"/>
      <c r="J25" s="81"/>
      <c r="K25" s="57"/>
      <c r="L25" s="63"/>
      <c r="M25" s="63"/>
    </row>
    <row r="26" spans="2:13">
      <c r="B26" s="21" t="s">
        <v>34</v>
      </c>
      <c r="C26" s="20"/>
      <c r="D26" s="22">
        <f>+D8/(1-D6/D5)</f>
        <v>4649.7342113703507</v>
      </c>
      <c r="E26" s="63"/>
      <c r="F26" s="63"/>
      <c r="G26" s="22">
        <f>+G8/(1-G6/G5)</f>
        <v>3041.4600584789714</v>
      </c>
      <c r="H26" s="63"/>
      <c r="I26" s="63"/>
      <c r="J26" s="37">
        <f>+G26/D26</f>
        <v>0.65411482037864799</v>
      </c>
      <c r="K26" s="22">
        <f>+G26-D26</f>
        <v>-1608.2741528913793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5748031496062992" right="0.2755905511811023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H21" sqref="H2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</v>
      </c>
      <c r="E3" s="24" t="s">
        <v>26</v>
      </c>
      <c r="F3" s="3" t="s">
        <v>38</v>
      </c>
      <c r="G3" s="4" t="s">
        <v>45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3">
        <f>+'2014'!AD4</f>
        <v>14</v>
      </c>
      <c r="G4" s="23" t="s">
        <v>27</v>
      </c>
      <c r="H4" s="3" t="s">
        <v>28</v>
      </c>
      <c r="I4" s="3">
        <f>+'2015'!AD4</f>
        <v>12</v>
      </c>
      <c r="J4" s="26"/>
    </row>
    <row r="5" spans="2:21">
      <c r="B5" s="10" t="s">
        <v>3</v>
      </c>
      <c r="C5" s="17"/>
      <c r="D5" s="8">
        <f>+'2014'!AB5</f>
        <v>119.34144999999999</v>
      </c>
      <c r="E5" s="54">
        <f>+D5/$D$5</f>
        <v>1</v>
      </c>
      <c r="F5" s="84">
        <f>+D5/F4</f>
        <v>8.5243892857142853</v>
      </c>
      <c r="G5" s="13">
        <f>+'2015'!AB5</f>
        <v>114.9442</v>
      </c>
      <c r="H5" s="54">
        <f>+G5/$G$5</f>
        <v>1</v>
      </c>
      <c r="I5" s="84">
        <f>+G5/I4</f>
        <v>9.5786833333333323</v>
      </c>
      <c r="J5" s="76">
        <f t="shared" ref="J5:J24" si="0">+G5/D5</f>
        <v>0.96315404245549219</v>
      </c>
      <c r="K5" s="77">
        <f>+G5-D5</f>
        <v>-4.3972499999999997</v>
      </c>
      <c r="L5" s="77">
        <f>+I5-F5</f>
        <v>1.054294047619047</v>
      </c>
      <c r="M5" s="57"/>
    </row>
    <row r="6" spans="2:21">
      <c r="B6" s="7" t="s">
        <v>4</v>
      </c>
      <c r="C6" s="17"/>
      <c r="D6" s="11">
        <f>+'2014'!AB6</f>
        <v>63.409679999999994</v>
      </c>
      <c r="E6" s="55">
        <f>+D6/$D$5</f>
        <v>0.53132989418177845</v>
      </c>
      <c r="F6" s="67">
        <f>+D6/F4</f>
        <v>4.5292628571428564</v>
      </c>
      <c r="G6" s="14">
        <f>+'2015'!AB6</f>
        <v>33.542059999999999</v>
      </c>
      <c r="H6" s="55">
        <f>+G6/$G$5</f>
        <v>0.2918116790581865</v>
      </c>
      <c r="I6" s="67">
        <f>+G6/I4</f>
        <v>2.7951716666666666</v>
      </c>
      <c r="J6" s="78">
        <f t="shared" si="0"/>
        <v>0.52897380967700836</v>
      </c>
      <c r="K6" s="79">
        <f>+G6-D6</f>
        <v>-29.867619999999995</v>
      </c>
      <c r="L6" s="79">
        <f>+I6-F6</f>
        <v>-1.7340911904761898</v>
      </c>
      <c r="M6" s="57"/>
    </row>
    <row r="7" spans="2:21">
      <c r="B7" s="10" t="s">
        <v>7</v>
      </c>
      <c r="C7" s="17"/>
      <c r="D7" s="9">
        <f>+'2014'!AB7</f>
        <v>55.93177</v>
      </c>
      <c r="E7" s="56">
        <f>+D7/$D$5</f>
        <v>0.46867010581822161</v>
      </c>
      <c r="F7" s="86">
        <f>+F5-F6</f>
        <v>3.995126428571429</v>
      </c>
      <c r="G7" s="8">
        <f>+'2015'!AB7</f>
        <v>81.402140000000003</v>
      </c>
      <c r="H7" s="56">
        <f>+G7/$G$5</f>
        <v>0.70818832094181361</v>
      </c>
      <c r="I7" s="86">
        <f>+I5-I6</f>
        <v>6.7835116666666657</v>
      </c>
      <c r="J7" s="80">
        <f t="shared" si="0"/>
        <v>1.4553828709515182</v>
      </c>
      <c r="K7" s="77">
        <f>+G7-D7</f>
        <v>25.470370000000003</v>
      </c>
      <c r="L7" s="77">
        <f>+I7-F7</f>
        <v>2.7883852380952368</v>
      </c>
      <c r="M7" s="57"/>
    </row>
    <row r="8" spans="2:21">
      <c r="B8" s="7" t="s">
        <v>5</v>
      </c>
      <c r="C8" s="17"/>
      <c r="D8" s="11">
        <f>+'2014'!AB8</f>
        <v>102.36175</v>
      </c>
      <c r="E8" s="55">
        <f>+D8/$D$5</f>
        <v>0.8577216884829203</v>
      </c>
      <c r="F8" s="67">
        <f>+D8/F4</f>
        <v>7.3115535714285711</v>
      </c>
      <c r="G8" s="14">
        <f>+'2015'!AB8</f>
        <v>201.053</v>
      </c>
      <c r="H8" s="55">
        <f>+G8/$G$5</f>
        <v>1.7491356675673937</v>
      </c>
      <c r="I8" s="67">
        <f>+G8/I4</f>
        <v>16.754416666666668</v>
      </c>
      <c r="J8" s="78">
        <f t="shared" si="0"/>
        <v>1.9641418791687324</v>
      </c>
      <c r="K8" s="79">
        <f>+G8-D8</f>
        <v>98.691249999999997</v>
      </c>
      <c r="L8" s="79">
        <f>+I8-F8</f>
        <v>9.4428630952380956</v>
      </c>
      <c r="M8" s="57"/>
    </row>
    <row r="9" spans="2:21">
      <c r="B9" s="19" t="s">
        <v>14</v>
      </c>
      <c r="C9" s="17"/>
      <c r="D9" s="15">
        <f>+D5-D6-D8</f>
        <v>-46.42998</v>
      </c>
      <c r="E9" s="54">
        <f>+D9/$D$5</f>
        <v>-0.38905158266469869</v>
      </c>
      <c r="F9" s="15">
        <f>+F5-F6-F8</f>
        <v>-3.3164271428571421</v>
      </c>
      <c r="G9" s="15">
        <f>+G5-G6-G8</f>
        <v>-119.65085999999999</v>
      </c>
      <c r="H9" s="54">
        <f>+G9/$G$5</f>
        <v>-1.0409473466255801</v>
      </c>
      <c r="I9" s="15">
        <f>+I5-I6-I8</f>
        <v>-9.9709050000000019</v>
      </c>
      <c r="J9" s="80">
        <f t="shared" si="0"/>
        <v>2.5770172634147159</v>
      </c>
      <c r="K9" s="77">
        <f>+G9-D9</f>
        <v>-73.220879999999994</v>
      </c>
      <c r="L9" s="77">
        <f>+I9-F9</f>
        <v>-6.6544778571428598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+'2014'!AB11</f>
        <v>3</v>
      </c>
      <c r="E11" s="57"/>
      <c r="F11" s="67">
        <f>+D11/F4</f>
        <v>0.21428571428571427</v>
      </c>
      <c r="G11" s="29">
        <f>+'2015'!AB11</f>
        <v>3</v>
      </c>
      <c r="H11" s="57"/>
      <c r="I11" s="67">
        <f>+G11/I4</f>
        <v>0.25</v>
      </c>
      <c r="J11" s="78">
        <f t="shared" si="0"/>
        <v>1</v>
      </c>
      <c r="K11" s="79">
        <f t="shared" ref="K11:K16" si="1">+G11-D11</f>
        <v>0</v>
      </c>
      <c r="L11" s="79">
        <f>+I11-F11</f>
        <v>3.5714285714285726E-2</v>
      </c>
      <c r="M11" s="57"/>
    </row>
    <row r="12" spans="2:21">
      <c r="B12" s="18" t="s">
        <v>15</v>
      </c>
      <c r="C12" s="17"/>
      <c r="D12" s="33">
        <f>+'2014'!AB12</f>
        <v>0.1852</v>
      </c>
      <c r="E12" s="57"/>
      <c r="F12" s="67">
        <f>+D12/F4</f>
        <v>1.3228571428571428E-2</v>
      </c>
      <c r="G12" s="14">
        <f>+'2015'!AB12</f>
        <v>114.12094</v>
      </c>
      <c r="H12" s="57"/>
      <c r="I12" s="67">
        <f>+G12/I4</f>
        <v>9.5100783333333343</v>
      </c>
      <c r="J12" s="78">
        <f t="shared" si="0"/>
        <v>616.20377969762421</v>
      </c>
      <c r="K12" s="79">
        <f t="shared" si="1"/>
        <v>113.93574000000001</v>
      </c>
      <c r="L12" s="79">
        <f>+I12-F12</f>
        <v>9.4968497619047625</v>
      </c>
      <c r="M12" s="57"/>
    </row>
    <row r="13" spans="2:21">
      <c r="B13" s="19" t="s">
        <v>20</v>
      </c>
      <c r="C13" s="17"/>
      <c r="D13" s="34">
        <f>+D12/D5</f>
        <v>1.5518497554705428E-3</v>
      </c>
      <c r="E13" s="57"/>
      <c r="F13" s="34"/>
      <c r="G13" s="34">
        <f>+G12/G5</f>
        <v>0.99283774213922937</v>
      </c>
      <c r="H13" s="57"/>
      <c r="I13" s="34"/>
      <c r="J13" s="76">
        <f t="shared" si="0"/>
        <v>639.77697495476093</v>
      </c>
      <c r="K13" s="54">
        <f t="shared" si="1"/>
        <v>0.99128589238375886</v>
      </c>
      <c r="L13" s="57"/>
      <c r="M13" s="57"/>
    </row>
    <row r="14" spans="2:21">
      <c r="B14" s="19" t="s">
        <v>16</v>
      </c>
      <c r="C14" s="17"/>
      <c r="D14" s="8">
        <f>+D5/D11</f>
        <v>39.780483333333329</v>
      </c>
      <c r="E14" s="57"/>
      <c r="F14" s="8"/>
      <c r="G14" s="8">
        <f>+G5/G11</f>
        <v>38.314733333333329</v>
      </c>
      <c r="H14" s="57"/>
      <c r="I14" s="8"/>
      <c r="J14" s="76">
        <f t="shared" si="0"/>
        <v>0.96315404245549219</v>
      </c>
      <c r="K14" s="77">
        <f t="shared" si="1"/>
        <v>-1.4657499999999999</v>
      </c>
      <c r="L14" s="57"/>
      <c r="M14" s="57"/>
    </row>
    <row r="15" spans="2:21">
      <c r="B15" s="10" t="s">
        <v>36</v>
      </c>
      <c r="C15" s="17"/>
      <c r="D15" s="8">
        <f>+D12/D11</f>
        <v>6.1733333333333335E-2</v>
      </c>
      <c r="E15" s="57"/>
      <c r="F15" s="8"/>
      <c r="G15" s="8">
        <f>+G12/G11</f>
        <v>38.040313333333337</v>
      </c>
      <c r="H15" s="57"/>
      <c r="I15" s="8"/>
      <c r="J15" s="76">
        <f t="shared" si="0"/>
        <v>616.20377969762421</v>
      </c>
      <c r="K15" s="77">
        <f t="shared" si="1"/>
        <v>37.978580000000001</v>
      </c>
      <c r="L15" s="57"/>
      <c r="M15" s="57"/>
    </row>
    <row r="16" spans="2:21">
      <c r="B16" s="19" t="s">
        <v>21</v>
      </c>
      <c r="C16" s="17"/>
      <c r="D16" s="34">
        <f>+D12/D7</f>
        <v>3.3111771717576613E-3</v>
      </c>
      <c r="E16" s="57"/>
      <c r="F16" s="34"/>
      <c r="G16" s="34">
        <f>+G12/G7</f>
        <v>1.4019402929701847</v>
      </c>
      <c r="H16" s="57"/>
      <c r="I16" s="34"/>
      <c r="J16" s="76">
        <f t="shared" si="0"/>
        <v>423.39633920162521</v>
      </c>
      <c r="K16" s="54">
        <f t="shared" si="1"/>
        <v>1.3986291157984272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+'2014'!AB18</f>
        <v>11565</v>
      </c>
      <c r="E18" s="58">
        <f>+'2014'!AC18</f>
        <v>11565</v>
      </c>
      <c r="F18" s="67">
        <f>+D18/F4</f>
        <v>826.07142857142856</v>
      </c>
      <c r="G18" s="14">
        <f>+'2015'!AB18</f>
        <v>9329</v>
      </c>
      <c r="H18" s="90">
        <f>+'2015'!AC18</f>
        <v>9329</v>
      </c>
      <c r="I18" s="67">
        <f>+G18/I4</f>
        <v>777.41666666666663</v>
      </c>
      <c r="J18" s="78">
        <f t="shared" si="0"/>
        <v>0.80665801988759189</v>
      </c>
      <c r="K18" s="79">
        <f t="shared" ref="K18:K24" si="2">+G18-D18</f>
        <v>-2236</v>
      </c>
      <c r="L18" s="79">
        <f>+I18-F18</f>
        <v>-48.654761904761926</v>
      </c>
      <c r="M18" s="57"/>
    </row>
    <row r="19" spans="2:13">
      <c r="B19" s="18" t="s">
        <v>17</v>
      </c>
      <c r="C19" s="17"/>
      <c r="D19" s="11">
        <f>+'2014'!AB19</f>
        <v>851.09</v>
      </c>
      <c r="E19" s="58">
        <f>+'2014'!AC19</f>
        <v>851.09</v>
      </c>
      <c r="F19" s="67">
        <f>+D19/F4</f>
        <v>60.792142857142856</v>
      </c>
      <c r="G19" s="14">
        <f>+'2015'!AB19</f>
        <v>662.21</v>
      </c>
      <c r="H19" s="90">
        <f>+'2015'!AC19</f>
        <v>662.21</v>
      </c>
      <c r="I19" s="67">
        <f>+G19/I4</f>
        <v>55.18416666666667</v>
      </c>
      <c r="J19" s="78">
        <f t="shared" si="0"/>
        <v>0.77807282426065405</v>
      </c>
      <c r="K19" s="79">
        <f t="shared" si="2"/>
        <v>-188.88</v>
      </c>
      <c r="L19" s="79">
        <f>+I19-F19</f>
        <v>-5.6079761904761867</v>
      </c>
      <c r="M19" s="57"/>
    </row>
    <row r="20" spans="2:13">
      <c r="B20" s="18" t="s">
        <v>29</v>
      </c>
      <c r="C20" s="17"/>
      <c r="D20" s="11">
        <f>+'2014'!AB20</f>
        <v>41.832679999999996</v>
      </c>
      <c r="E20" s="58">
        <f>+'2014'!AC20</f>
        <v>31.561050000000002</v>
      </c>
      <c r="F20" s="67">
        <f>+D20/F4</f>
        <v>2.9880485714285712</v>
      </c>
      <c r="G20" s="14">
        <f>+'2015'!AB20</f>
        <v>19.81729</v>
      </c>
      <c r="H20" s="90">
        <f>+'2015'!AC20</f>
        <v>19.817299999999999</v>
      </c>
      <c r="I20" s="67">
        <f>+G20/I4</f>
        <v>1.6514408333333332</v>
      </c>
      <c r="J20" s="78">
        <f t="shared" si="0"/>
        <v>0.47372747813431992</v>
      </c>
      <c r="K20" s="79">
        <f t="shared" si="2"/>
        <v>-22.015389999999996</v>
      </c>
      <c r="L20" s="79">
        <f>+I20-F20</f>
        <v>-1.3366077380952379</v>
      </c>
      <c r="M20" s="57"/>
    </row>
    <row r="21" spans="2:13">
      <c r="B21" s="19" t="s">
        <v>19</v>
      </c>
      <c r="C21" s="17"/>
      <c r="D21" s="44">
        <f>+D20/D19*1000</f>
        <v>49.151887579456925</v>
      </c>
      <c r="E21" s="60">
        <f>+E20/E19*1000</f>
        <v>37.083093444876567</v>
      </c>
      <c r="F21" s="60"/>
      <c r="G21" s="44">
        <f>+G20/G19*1000</f>
        <v>29.925990244786394</v>
      </c>
      <c r="H21" s="91">
        <f>+H20/H19*1000</f>
        <v>29.926005345736243</v>
      </c>
      <c r="I21" s="60"/>
      <c r="J21" s="76">
        <f t="shared" si="0"/>
        <v>0.60884722273197067</v>
      </c>
      <c r="K21" s="77">
        <f t="shared" si="2"/>
        <v>-19.225897334670531</v>
      </c>
      <c r="L21" s="82">
        <f>+H21/E21</f>
        <v>0.80699862297682301</v>
      </c>
      <c r="M21" s="83">
        <f>+H21-E21</f>
        <v>-7.1570880991403243</v>
      </c>
    </row>
    <row r="22" spans="2:13">
      <c r="B22" s="19" t="s">
        <v>23</v>
      </c>
      <c r="C22" s="17"/>
      <c r="D22" s="46">
        <f>+D19/D18</f>
        <v>7.3591872027669702E-2</v>
      </c>
      <c r="E22" s="46">
        <f>+E19/E18</f>
        <v>7.3591872027669702E-2</v>
      </c>
      <c r="F22" s="61"/>
      <c r="G22" s="53">
        <f>+G19/G18</f>
        <v>7.0984028298853044E-2</v>
      </c>
      <c r="H22" s="92">
        <f>+H19/H18</f>
        <v>7.0984028298853044E-2</v>
      </c>
      <c r="I22" s="61"/>
      <c r="J22" s="76">
        <f t="shared" si="0"/>
        <v>0.96456342722418942</v>
      </c>
      <c r="K22" s="77">
        <f t="shared" si="2"/>
        <v>-2.6078437288166584E-3</v>
      </c>
      <c r="L22" s="57"/>
      <c r="M22" s="57"/>
    </row>
    <row r="23" spans="2:13">
      <c r="B23" s="10" t="s">
        <v>30</v>
      </c>
      <c r="C23" s="10"/>
      <c r="D23" s="48">
        <f>+D20*1000/(D18*D21)*100</f>
        <v>7.3591872027669689</v>
      </c>
      <c r="E23" s="48">
        <f>+E20*1000/(E18*E21)*100</f>
        <v>7.3591872027669698</v>
      </c>
      <c r="F23" s="62"/>
      <c r="G23" s="48">
        <f>+G20/(G18*G21)*1000*100</f>
        <v>7.0984028298853046</v>
      </c>
      <c r="H23" s="93">
        <f>+H20*1000/(H18*H21)*100</f>
        <v>7.0984028298853046</v>
      </c>
      <c r="I23" s="62"/>
      <c r="J23" s="76">
        <f t="shared" si="0"/>
        <v>0.96456342722418964</v>
      </c>
      <c r="K23" s="77">
        <f t="shared" si="2"/>
        <v>-0.26078437288166434</v>
      </c>
      <c r="L23" s="57"/>
      <c r="M23" s="57"/>
    </row>
    <row r="24" spans="2:13">
      <c r="B24" s="19" t="s">
        <v>39</v>
      </c>
      <c r="C24" s="10"/>
      <c r="D24" s="48">
        <f>+D20/D18*1000</f>
        <v>3.6171794206658014</v>
      </c>
      <c r="E24" s="48">
        <f>+E20/E18*1000</f>
        <v>2.7290142671854736</v>
      </c>
      <c r="F24" s="62"/>
      <c r="G24" s="48">
        <f>+G20/G18*1000</f>
        <v>2.1242673384071176</v>
      </c>
      <c r="H24" s="93">
        <f>+H20/H18*1000</f>
        <v>2.1242684103333693</v>
      </c>
      <c r="I24" s="62"/>
      <c r="J24" s="76">
        <f t="shared" si="0"/>
        <v>0.58727176381427915</v>
      </c>
      <c r="K24" s="77">
        <f t="shared" si="2"/>
        <v>-1.4929120822586839</v>
      </c>
      <c r="L24" s="57"/>
      <c r="M24" s="57"/>
    </row>
    <row r="25" spans="2:13" ht="7.5" customHeight="1">
      <c r="B25" s="17"/>
      <c r="C25" s="38"/>
      <c r="D25" s="38"/>
      <c r="E25" s="57"/>
      <c r="F25" s="62"/>
      <c r="G25" s="39"/>
      <c r="H25" s="57"/>
      <c r="I25" s="57"/>
      <c r="J25" s="81"/>
      <c r="K25" s="57"/>
      <c r="L25" s="57"/>
      <c r="M25" s="57"/>
    </row>
    <row r="26" spans="2:13">
      <c r="B26" s="21" t="s">
        <v>34</v>
      </c>
      <c r="C26" s="40"/>
      <c r="D26" s="22">
        <f>+D8/(1-D6/D5)</f>
        <v>218.4089591575146</v>
      </c>
      <c r="E26" s="57"/>
      <c r="F26" s="57"/>
      <c r="G26" s="22">
        <f>+G8/(1-G6/G5)</f>
        <v>283.89764989716485</v>
      </c>
      <c r="H26" s="57"/>
      <c r="I26" s="57"/>
      <c r="J26" s="95">
        <f>IF(D26="---","---",+G26/D26)</f>
        <v>1.2998443424311197</v>
      </c>
      <c r="K26" s="89">
        <f>IF(D26="---","---",+G26-D26)</f>
        <v>65.488690739650252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7" right="0.17" top="0.4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U78"/>
  <sheetViews>
    <sheetView workbookViewId="0">
      <pane xSplit="3" ySplit="4" topLeftCell="V5" activePane="bottomRight" state="frozen"/>
      <selection pane="topRight" activeCell="C1" sqref="C1"/>
      <selection pane="bottomLeft" activeCell="A5" sqref="A5"/>
      <selection pane="bottomRight" activeCell="AE5" sqref="AE5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55</v>
      </c>
      <c r="E3" s="24" t="s">
        <v>26</v>
      </c>
      <c r="F3" s="3" t="s">
        <v>38</v>
      </c>
      <c r="G3" s="4" t="s">
        <v>56</v>
      </c>
      <c r="H3" s="24" t="s">
        <v>26</v>
      </c>
      <c r="I3" s="3" t="s">
        <v>38</v>
      </c>
      <c r="J3" s="4" t="s">
        <v>57</v>
      </c>
      <c r="K3" s="24" t="s">
        <v>26</v>
      </c>
      <c r="L3" s="3" t="s">
        <v>38</v>
      </c>
      <c r="M3" s="4" t="s">
        <v>58</v>
      </c>
      <c r="N3" s="24" t="s">
        <v>26</v>
      </c>
      <c r="O3" s="3" t="s">
        <v>38</v>
      </c>
      <c r="P3" s="4" t="s">
        <v>59</v>
      </c>
      <c r="Q3" s="24" t="s">
        <v>26</v>
      </c>
      <c r="R3" s="3" t="s">
        <v>38</v>
      </c>
      <c r="S3" s="4" t="s">
        <v>60</v>
      </c>
      <c r="T3" s="24" t="s">
        <v>26</v>
      </c>
      <c r="U3" s="3" t="s">
        <v>38</v>
      </c>
      <c r="V3" s="4" t="s">
        <v>42</v>
      </c>
      <c r="W3" s="24" t="s">
        <v>26</v>
      </c>
      <c r="X3" s="3" t="s">
        <v>38</v>
      </c>
      <c r="Y3" s="4" t="s">
        <v>41</v>
      </c>
      <c r="Z3" s="24" t="s">
        <v>26</v>
      </c>
      <c r="AA3" s="3" t="s">
        <v>38</v>
      </c>
      <c r="AB3" s="4" t="s">
        <v>6</v>
      </c>
      <c r="AC3" s="24" t="s">
        <v>26</v>
      </c>
      <c r="AD3" s="3" t="s">
        <v>38</v>
      </c>
      <c r="AE3" s="4" t="s">
        <v>8</v>
      </c>
      <c r="AF3" s="24" t="s">
        <v>26</v>
      </c>
      <c r="AG3" s="3" t="s">
        <v>38</v>
      </c>
      <c r="AH3" s="4" t="s">
        <v>9</v>
      </c>
      <c r="AI3" s="24" t="s">
        <v>26</v>
      </c>
      <c r="AJ3" s="3" t="s">
        <v>38</v>
      </c>
      <c r="AK3" s="4" t="s">
        <v>10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14</v>
      </c>
      <c r="G4" s="42"/>
      <c r="H4" s="3" t="s">
        <v>28</v>
      </c>
      <c r="I4" s="3">
        <v>14</v>
      </c>
      <c r="J4" s="42"/>
      <c r="K4" s="3" t="s">
        <v>28</v>
      </c>
      <c r="L4" s="3">
        <v>14</v>
      </c>
      <c r="M4" s="42"/>
      <c r="N4" s="3" t="s">
        <v>28</v>
      </c>
      <c r="O4" s="3">
        <v>14</v>
      </c>
      <c r="P4" s="42"/>
      <c r="Q4" s="3" t="s">
        <v>28</v>
      </c>
      <c r="R4" s="3">
        <v>14</v>
      </c>
      <c r="S4" s="42"/>
      <c r="T4" s="3" t="s">
        <v>28</v>
      </c>
      <c r="U4" s="3">
        <v>14</v>
      </c>
      <c r="V4" s="42"/>
      <c r="W4" s="3" t="s">
        <v>28</v>
      </c>
      <c r="X4" s="3">
        <v>14</v>
      </c>
      <c r="Y4" s="50"/>
      <c r="Z4" s="3" t="s">
        <v>28</v>
      </c>
      <c r="AA4" s="3">
        <v>14</v>
      </c>
      <c r="AB4" s="50"/>
      <c r="AC4" s="3" t="s">
        <v>28</v>
      </c>
      <c r="AD4" s="3">
        <v>14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14</v>
      </c>
      <c r="AS4" s="42">
        <v>9</v>
      </c>
      <c r="AT4" s="3" t="s">
        <v>28</v>
      </c>
      <c r="AU4" s="88">
        <f>+AR4</f>
        <v>14</v>
      </c>
    </row>
    <row r="5" spans="2:47">
      <c r="B5" s="10" t="s">
        <v>3</v>
      </c>
      <c r="C5" s="17"/>
      <c r="D5" s="9">
        <f>5+56.275</f>
        <v>61.274999999999999</v>
      </c>
      <c r="E5" s="54">
        <f>+D5/D5</f>
        <v>1</v>
      </c>
      <c r="F5" s="84">
        <f>+D5/F4</f>
        <v>4.3767857142857141</v>
      </c>
      <c r="G5" s="9">
        <v>83.94</v>
      </c>
      <c r="H5" s="54">
        <f>+G5/G5</f>
        <v>1</v>
      </c>
      <c r="I5" s="84">
        <f>+G5/I4</f>
        <v>5.9957142857142856</v>
      </c>
      <c r="J5" s="9">
        <v>125.899</v>
      </c>
      <c r="K5" s="54">
        <f>+J5/J5</f>
        <v>1</v>
      </c>
      <c r="L5" s="84">
        <f>+J5/L4</f>
        <v>8.9927857142857146</v>
      </c>
      <c r="M5" s="9">
        <f>2.27+68.896</f>
        <v>71.165999999999997</v>
      </c>
      <c r="N5" s="54">
        <f>+M5/M5</f>
        <v>1</v>
      </c>
      <c r="O5" s="84">
        <f>+M5/O4</f>
        <v>5.0832857142857142</v>
      </c>
      <c r="P5" s="9">
        <f>0.34455+116.436</f>
        <v>116.78055000000001</v>
      </c>
      <c r="Q5" s="54">
        <f>+P5/P5</f>
        <v>1</v>
      </c>
      <c r="R5" s="84">
        <f>+P5/R4</f>
        <v>8.3414678571428578</v>
      </c>
      <c r="S5" s="9">
        <f>5.148+92.408</f>
        <v>97.555999999999997</v>
      </c>
      <c r="T5" s="54">
        <f>+S5/S5</f>
        <v>1</v>
      </c>
      <c r="U5" s="84">
        <f>+S5/U4</f>
        <v>6.968285714285714</v>
      </c>
      <c r="V5" s="9">
        <f>0.40495+71.9448</f>
        <v>72.34975</v>
      </c>
      <c r="W5" s="54">
        <f>+V5/V5</f>
        <v>1</v>
      </c>
      <c r="X5" s="84">
        <f>+V5/X4</f>
        <v>5.1678392857142859</v>
      </c>
      <c r="Y5" s="9">
        <f>0.2396+202.803</f>
        <v>203.04259999999999</v>
      </c>
      <c r="Z5" s="54">
        <f>+Y5/Y5</f>
        <v>1</v>
      </c>
      <c r="AA5" s="84">
        <f>+Y5/AA4</f>
        <v>14.503042857142857</v>
      </c>
      <c r="AB5" s="9">
        <v>119.34144999999999</v>
      </c>
      <c r="AC5" s="54">
        <f>+AB5/$AB$5</f>
        <v>1</v>
      </c>
      <c r="AD5" s="84">
        <f>+AB5/AD4</f>
        <v>8.5243892857142853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951.35034999999982</v>
      </c>
      <c r="AQ5" s="64">
        <f>+AP5/$AP$5</f>
        <v>1</v>
      </c>
      <c r="AR5" s="84">
        <f>+AP5/AR4</f>
        <v>67.953596428571416</v>
      </c>
      <c r="AS5" s="31">
        <f>+AP5/$AS$4</f>
        <v>105.70559444444443</v>
      </c>
      <c r="AT5" s="57"/>
      <c r="AU5" s="84">
        <f>+AS5/AU4</f>
        <v>7.5503996031746023</v>
      </c>
    </row>
    <row r="6" spans="2:47">
      <c r="B6" s="7" t="s">
        <v>4</v>
      </c>
      <c r="C6" s="17"/>
      <c r="D6" s="11">
        <f>27.836+9.27922+16.538+2.818</f>
        <v>56.471220000000002</v>
      </c>
      <c r="E6" s="55">
        <f>+D6/D5</f>
        <v>0.92160293757649947</v>
      </c>
      <c r="F6" s="85">
        <f>+D6/F4</f>
        <v>4.033658571428572</v>
      </c>
      <c r="G6" s="11">
        <f>22.61143+8.4698+2.79894+16.965</f>
        <v>50.845169999999996</v>
      </c>
      <c r="H6" s="55">
        <f>+G6/G5</f>
        <v>0.60573230879199425</v>
      </c>
      <c r="I6" s="85">
        <f>+G6/I4</f>
        <v>3.6317978571428569</v>
      </c>
      <c r="J6" s="11">
        <f>26.63335+8.2884+0.6358+72.812</f>
        <v>108.36955</v>
      </c>
      <c r="K6" s="55">
        <f>+J6/J5</f>
        <v>0.86076577256372178</v>
      </c>
      <c r="L6" s="85">
        <f>+J6/L4</f>
        <v>7.7406821428571435</v>
      </c>
      <c r="M6" s="11">
        <f>25.82304+6.64582+2.02329+26.212</f>
        <v>60.704149999999998</v>
      </c>
      <c r="N6" s="55">
        <f>+M6/M5</f>
        <v>0.8529937048590619</v>
      </c>
      <c r="O6" s="85">
        <f>+M6/O4</f>
        <v>4.3360107142857141</v>
      </c>
      <c r="P6" s="11">
        <f>19.56409+4.5314+1.48901+13.471</f>
        <v>39.055499999999995</v>
      </c>
      <c r="Q6" s="55">
        <f>+P6/P5</f>
        <v>0.33443497226207614</v>
      </c>
      <c r="R6" s="85">
        <f>+P6/R4</f>
        <v>2.789678571428571</v>
      </c>
      <c r="S6" s="11">
        <f>29.74143+3.0195+16.171+86.83</f>
        <v>135.76193000000001</v>
      </c>
      <c r="T6" s="55">
        <f>+S6/S5</f>
        <v>1.3916307556685392</v>
      </c>
      <c r="U6" s="85">
        <f>+S6/U4</f>
        <v>9.6972807142857143</v>
      </c>
      <c r="V6" s="11">
        <f>19.13671+2.6788+2.118+11.156</f>
        <v>35.089509999999997</v>
      </c>
      <c r="W6" s="55">
        <f>+V6/V5</f>
        <v>0.48499835866744523</v>
      </c>
      <c r="X6" s="85">
        <f>+V6/X4</f>
        <v>2.5063935714285712</v>
      </c>
      <c r="Y6" s="11">
        <f>17.04552+2.517+2.993+7.609</f>
        <v>30.164519999999996</v>
      </c>
      <c r="Z6" s="55">
        <f>+Y6/Y5</f>
        <v>0.14856251840746718</v>
      </c>
      <c r="AA6" s="85">
        <f>+Y6/AA4</f>
        <v>2.1546085714285712</v>
      </c>
      <c r="AB6" s="11">
        <f>39.99708+1.8356+21.577</f>
        <v>63.409679999999994</v>
      </c>
      <c r="AC6" s="55">
        <f>+AB6/$AB$5</f>
        <v>0.53132989418177845</v>
      </c>
      <c r="AD6" s="85">
        <f>+AB6/AD4</f>
        <v>4.5292628571428564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579.87123000000008</v>
      </c>
      <c r="AQ6" s="65">
        <f>+AP6/$AP$5</f>
        <v>0.60952437763858514</v>
      </c>
      <c r="AR6" s="85">
        <f>+AP6/AR4</f>
        <v>41.419373571428579</v>
      </c>
      <c r="AS6" s="14">
        <f t="shared" ref="AS6:AS9" si="0">+AP6/$AS$4</f>
        <v>64.430136666666669</v>
      </c>
      <c r="AT6" s="57"/>
      <c r="AU6" s="85">
        <f>+AS6/AU4</f>
        <v>4.6021526190476196</v>
      </c>
    </row>
    <row r="7" spans="2:47">
      <c r="B7" s="10" t="s">
        <v>7</v>
      </c>
      <c r="C7" s="17"/>
      <c r="D7" s="8">
        <f>+D5-D6</f>
        <v>4.8037799999999962</v>
      </c>
      <c r="E7" s="56">
        <f>+D7/D5</f>
        <v>7.8397062423500558E-2</v>
      </c>
      <c r="F7" s="86">
        <f>+F5-F6</f>
        <v>0.34312714285714208</v>
      </c>
      <c r="G7" s="8">
        <f>+G5-G6</f>
        <v>33.094830000000002</v>
      </c>
      <c r="H7" s="56">
        <f>+G7/G5</f>
        <v>0.39426769120800575</v>
      </c>
      <c r="I7" s="86">
        <f>+I5-I6</f>
        <v>2.3639164285714287</v>
      </c>
      <c r="J7" s="8">
        <f>+J5-J6</f>
        <v>17.529449999999997</v>
      </c>
      <c r="K7" s="56">
        <f>+J7/J5</f>
        <v>0.13923422743627825</v>
      </c>
      <c r="L7" s="86">
        <f>+L5-L6</f>
        <v>1.2521035714285711</v>
      </c>
      <c r="M7" s="8">
        <f>+M5-M6</f>
        <v>10.461849999999998</v>
      </c>
      <c r="N7" s="56">
        <f>+M7/M5</f>
        <v>0.14700629514093808</v>
      </c>
      <c r="O7" s="86">
        <f>+O5-O6</f>
        <v>0.74727500000000013</v>
      </c>
      <c r="P7" s="8">
        <f>+P5-P6</f>
        <v>77.72505000000001</v>
      </c>
      <c r="Q7" s="56">
        <f>+P7/P5</f>
        <v>0.66556502773792392</v>
      </c>
      <c r="R7" s="86">
        <f>+R5-R6</f>
        <v>5.5517892857142872</v>
      </c>
      <c r="S7" s="8">
        <f>+S5-S6</f>
        <v>-38.205930000000009</v>
      </c>
      <c r="T7" s="56">
        <f>+S7/S5</f>
        <v>-0.39163075566853922</v>
      </c>
      <c r="U7" s="86">
        <f>+U5-U6</f>
        <v>-2.7289950000000003</v>
      </c>
      <c r="V7" s="8">
        <f>+V5-V6</f>
        <v>37.260240000000003</v>
      </c>
      <c r="W7" s="56">
        <f>+V7/V5</f>
        <v>0.51500164133255477</v>
      </c>
      <c r="X7" s="86">
        <f>+X5-X6</f>
        <v>2.6614457142857146</v>
      </c>
      <c r="Y7" s="8">
        <f>+Y5-Y6</f>
        <v>172.87808000000001</v>
      </c>
      <c r="Z7" s="56">
        <f>+Y7/Y5</f>
        <v>0.85143748159253285</v>
      </c>
      <c r="AA7" s="86">
        <f>+AA5-AA6</f>
        <v>12.348434285714285</v>
      </c>
      <c r="AB7" s="8">
        <f>+AB5-AB6</f>
        <v>55.93177</v>
      </c>
      <c r="AC7" s="56">
        <f>+AB7/$AB$5</f>
        <v>0.46867010581822161</v>
      </c>
      <c r="AD7" s="86">
        <f>+AD5-AD6</f>
        <v>3.995126428571429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371.47912000000002</v>
      </c>
      <c r="AQ7" s="65">
        <f>+AP7/$AP$5</f>
        <v>0.39047562236141509</v>
      </c>
      <c r="AR7" s="86">
        <f>+AR5-AR6</f>
        <v>26.534222857142836</v>
      </c>
      <c r="AS7" s="13">
        <f t="shared" si="0"/>
        <v>41.275457777777781</v>
      </c>
      <c r="AT7" s="57"/>
      <c r="AU7" s="86">
        <f>+AU5-AU6</f>
        <v>2.9482469841269827</v>
      </c>
    </row>
    <row r="8" spans="2:47">
      <c r="B8" s="7" t="s">
        <v>5</v>
      </c>
      <c r="C8" s="17"/>
      <c r="D8" s="11">
        <v>260.30500000000001</v>
      </c>
      <c r="E8" s="55">
        <f>+D8/D5</f>
        <v>4.2481436148510818</v>
      </c>
      <c r="F8" s="85">
        <f>+D8/F4</f>
        <v>18.593214285714286</v>
      </c>
      <c r="G8" s="11">
        <v>208.89099999999999</v>
      </c>
      <c r="H8" s="55">
        <f>+G8/G5</f>
        <v>2.488575172742435</v>
      </c>
      <c r="I8" s="85">
        <f>+G8/I4</f>
        <v>14.920785714285714</v>
      </c>
      <c r="J8" s="11">
        <v>220.10655</v>
      </c>
      <c r="K8" s="55">
        <f>+J8/J5</f>
        <v>1.748278779021279</v>
      </c>
      <c r="L8" s="85">
        <f>+J8/L4</f>
        <v>15.721896428571428</v>
      </c>
      <c r="M8" s="11">
        <v>266.99299999999999</v>
      </c>
      <c r="N8" s="55">
        <f>+M8/M5</f>
        <v>3.7516932242924992</v>
      </c>
      <c r="O8" s="85">
        <f>+M8/O4</f>
        <v>19.070928571428571</v>
      </c>
      <c r="P8" s="11">
        <v>222.78056000000001</v>
      </c>
      <c r="Q8" s="55">
        <f>+P8/P5</f>
        <v>1.9076854835843811</v>
      </c>
      <c r="R8" s="85">
        <f>+P8/R4</f>
        <v>15.912897142857144</v>
      </c>
      <c r="S8" s="11">
        <v>223.774</v>
      </c>
      <c r="T8" s="55">
        <f>+S8/S5</f>
        <v>2.2938004838246751</v>
      </c>
      <c r="U8" s="85">
        <f>+S8/U4</f>
        <v>15.983857142857143</v>
      </c>
      <c r="V8" s="11">
        <v>310.39600000000002</v>
      </c>
      <c r="W8" s="55">
        <f>+V8/V5</f>
        <v>4.2902152391680692</v>
      </c>
      <c r="X8" s="85">
        <f>+V8/X4</f>
        <v>22.171142857142858</v>
      </c>
      <c r="Y8" s="11">
        <v>0</v>
      </c>
      <c r="Z8" s="55">
        <f>+Y8/Y5</f>
        <v>0</v>
      </c>
      <c r="AA8" s="85">
        <f>+Y8/AA4</f>
        <v>0</v>
      </c>
      <c r="AB8" s="11">
        <v>102.36175</v>
      </c>
      <c r="AC8" s="55">
        <f>+AB8/$AB$5</f>
        <v>0.8577216884829203</v>
      </c>
      <c r="AD8" s="85">
        <f>+AB8/AD4</f>
        <v>7.3115535714285711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1815.6078600000001</v>
      </c>
      <c r="AQ8" s="65">
        <f>+AP8/$AP$5</f>
        <v>1.908453452505694</v>
      </c>
      <c r="AR8" s="67">
        <f>+AP8/AR4</f>
        <v>129.68627571428573</v>
      </c>
      <c r="AS8" s="14">
        <f t="shared" si="0"/>
        <v>201.73420666666667</v>
      </c>
      <c r="AT8" s="57"/>
      <c r="AU8" s="85">
        <f>+AS8/AU4</f>
        <v>14.40958619047619</v>
      </c>
    </row>
    <row r="9" spans="2:47">
      <c r="B9" s="19" t="s">
        <v>14</v>
      </c>
      <c r="C9" s="17"/>
      <c r="D9" s="15">
        <f>+D5-D6-D8</f>
        <v>-255.50122000000002</v>
      </c>
      <c r="E9" s="54">
        <f>+D9/D5</f>
        <v>-4.169746552427581</v>
      </c>
      <c r="F9" s="15">
        <f>+F5-F6-F8</f>
        <v>-18.250087142857144</v>
      </c>
      <c r="G9" s="15">
        <f>+G5-G6-G8</f>
        <v>-175.79616999999999</v>
      </c>
      <c r="H9" s="54">
        <f>+G9/G5</f>
        <v>-2.0943074815344294</v>
      </c>
      <c r="I9" s="15">
        <f>+I5-I6-I8</f>
        <v>-12.556869285714285</v>
      </c>
      <c r="J9" s="15">
        <f>+J5-J6-J8</f>
        <v>-202.5771</v>
      </c>
      <c r="K9" s="54">
        <f>+J9/J5</f>
        <v>-1.6090445515850007</v>
      </c>
      <c r="L9" s="15">
        <f>+L5-L6-L8</f>
        <v>-14.469792857142856</v>
      </c>
      <c r="M9" s="15">
        <f>+M5-M6-M8</f>
        <v>-256.53115000000003</v>
      </c>
      <c r="N9" s="54">
        <f>+M9/M5</f>
        <v>-3.6046869291515615</v>
      </c>
      <c r="O9" s="15">
        <f>+O5-O6-O8</f>
        <v>-18.323653571428572</v>
      </c>
      <c r="P9" s="15">
        <f>+P5-P6-P8</f>
        <v>-145.05551</v>
      </c>
      <c r="Q9" s="54">
        <f>+P9/P5</f>
        <v>-1.2421204558464571</v>
      </c>
      <c r="R9" s="15">
        <f>+R5-R6-R8</f>
        <v>-10.361107857142857</v>
      </c>
      <c r="S9" s="15">
        <f>+S5-S6-S8</f>
        <v>-261.97993000000002</v>
      </c>
      <c r="T9" s="54">
        <f>+S9/S5</f>
        <v>-2.6854312394932145</v>
      </c>
      <c r="U9" s="15">
        <f>+U5-U6-U8</f>
        <v>-18.712852142857145</v>
      </c>
      <c r="V9" s="15">
        <f>+V5-V6-V8</f>
        <v>-273.13576</v>
      </c>
      <c r="W9" s="54">
        <f>+V9/V5</f>
        <v>-3.7752135978355144</v>
      </c>
      <c r="X9" s="15">
        <f>+X5-X6-X8</f>
        <v>-19.509697142857142</v>
      </c>
      <c r="Y9" s="15">
        <f>+Y5-Y6-Y8</f>
        <v>172.87808000000001</v>
      </c>
      <c r="Z9" s="54">
        <f>+Y9/Y5</f>
        <v>0.85143748159253285</v>
      </c>
      <c r="AA9" s="15">
        <f>+AA5-AA6-AA8</f>
        <v>12.348434285714285</v>
      </c>
      <c r="AB9" s="15">
        <f>+AB5-AB6-AB8</f>
        <v>-46.42998</v>
      </c>
      <c r="AC9" s="54">
        <f>+AB9/$AB$5</f>
        <v>-0.38905158266469869</v>
      </c>
      <c r="AD9" s="15">
        <f>+AD5-AD6-AD8</f>
        <v>-3.3164271428571421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-1444.1287400000001</v>
      </c>
      <c r="AQ9" s="64">
        <f>+AP9/$AP$5</f>
        <v>-1.517977830144279</v>
      </c>
      <c r="AR9" s="15">
        <f>+AR5-AR6-AR8</f>
        <v>-103.15205285714289</v>
      </c>
      <c r="AS9" s="30">
        <f t="shared" si="0"/>
        <v>-160.45874888888889</v>
      </c>
      <c r="AT9" s="57"/>
      <c r="AU9" s="15">
        <f>+AU5-AU6-AU8</f>
        <v>-11.461339206349209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3</v>
      </c>
      <c r="E11" s="57"/>
      <c r="F11" s="85">
        <f>+D11/F4</f>
        <v>0.21428571428571427</v>
      </c>
      <c r="G11" s="33">
        <v>3</v>
      </c>
      <c r="H11" s="57"/>
      <c r="I11" s="85">
        <f>+G11/I4</f>
        <v>0.21428571428571427</v>
      </c>
      <c r="J11" s="33">
        <v>3</v>
      </c>
      <c r="K11" s="57"/>
      <c r="L11" s="85">
        <f>+J11/L4</f>
        <v>0.21428571428571427</v>
      </c>
      <c r="M11" s="33">
        <v>3</v>
      </c>
      <c r="N11" s="57"/>
      <c r="O11" s="85">
        <f>+M11/O4</f>
        <v>0.21428571428571427</v>
      </c>
      <c r="P11" s="33">
        <v>3</v>
      </c>
      <c r="Q11" s="57"/>
      <c r="R11" s="85">
        <f>+P11/R4</f>
        <v>0.21428571428571427</v>
      </c>
      <c r="S11" s="33">
        <v>3</v>
      </c>
      <c r="T11" s="57"/>
      <c r="U11" s="85">
        <f>+S11/U4</f>
        <v>0.21428571428571427</v>
      </c>
      <c r="V11" s="33">
        <v>3</v>
      </c>
      <c r="W11" s="57"/>
      <c r="X11" s="85">
        <f>+V11/X4</f>
        <v>0.21428571428571427</v>
      </c>
      <c r="Y11" s="33">
        <v>3</v>
      </c>
      <c r="Z11" s="72"/>
      <c r="AA11" s="85">
        <f>+Y11/AA4</f>
        <v>0.21428571428571427</v>
      </c>
      <c r="AB11" s="33">
        <v>3</v>
      </c>
      <c r="AC11" s="57"/>
      <c r="AD11" s="85">
        <f>+AB11/AD4</f>
        <v>0.21428571428571427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27</v>
      </c>
      <c r="AQ11" s="57"/>
      <c r="AR11" s="85">
        <f>+AP11/AR4</f>
        <v>1.9285714285714286</v>
      </c>
      <c r="AS11" s="29">
        <f>+AP11/AS4</f>
        <v>3</v>
      </c>
      <c r="AT11" s="57"/>
      <c r="AU11" s="85">
        <f>+AS11/AU4</f>
        <v>0.21428571428571427</v>
      </c>
    </row>
    <row r="12" spans="2:47">
      <c r="B12" s="18" t="s">
        <v>15</v>
      </c>
      <c r="C12" s="17"/>
      <c r="D12" s="33">
        <v>140.83199999999999</v>
      </c>
      <c r="E12" s="57"/>
      <c r="F12" s="85">
        <f>+D12/F4</f>
        <v>10.059428571428571</v>
      </c>
      <c r="G12" s="33">
        <v>135.34</v>
      </c>
      <c r="H12" s="57"/>
      <c r="I12" s="85">
        <f>+G12/I4</f>
        <v>9.6671428571428581</v>
      </c>
      <c r="J12" s="33">
        <v>141.626</v>
      </c>
      <c r="K12" s="57"/>
      <c r="L12" s="85">
        <f>+J12/L4</f>
        <v>10.116142857142858</v>
      </c>
      <c r="M12" s="33">
        <v>142.81970999999999</v>
      </c>
      <c r="N12" s="57"/>
      <c r="O12" s="85">
        <f>+M12/O4</f>
        <v>10.201407857142856</v>
      </c>
      <c r="P12" s="33">
        <v>140.85461000000001</v>
      </c>
      <c r="Q12" s="57"/>
      <c r="R12" s="85">
        <f>+P12/R4</f>
        <v>10.061043571428572</v>
      </c>
      <c r="S12" s="33">
        <v>145.65100000000001</v>
      </c>
      <c r="T12" s="57"/>
      <c r="U12" s="85">
        <f>+S12/U4</f>
        <v>10.403642857142858</v>
      </c>
      <c r="V12" s="33">
        <v>227.52798000000001</v>
      </c>
      <c r="W12" s="57"/>
      <c r="X12" s="85">
        <f>+V12/X4</f>
        <v>16.251998571428572</v>
      </c>
      <c r="Y12" s="33">
        <v>154.38650000000001</v>
      </c>
      <c r="Z12" s="72"/>
      <c r="AA12" s="85">
        <f>+Y12/AA4</f>
        <v>11.027607142857144</v>
      </c>
      <c r="AB12" s="33">
        <v>0.1852</v>
      </c>
      <c r="AC12" s="57"/>
      <c r="AD12" s="85">
        <f>+AB12/AD4</f>
        <v>1.3228571428571428E-2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1229.223</v>
      </c>
      <c r="AQ12" s="57"/>
      <c r="AR12" s="85">
        <f>+AP12/AR4</f>
        <v>87.801642857142852</v>
      </c>
      <c r="AS12" s="14">
        <f t="shared" ref="AS12" si="1">+AP12/$AS$4</f>
        <v>136.58033333333333</v>
      </c>
      <c r="AT12" s="57"/>
      <c r="AU12" s="85">
        <f>+AS12/AU4</f>
        <v>9.7557380952380957</v>
      </c>
    </row>
    <row r="13" spans="2:47">
      <c r="B13" s="19" t="s">
        <v>20</v>
      </c>
      <c r="C13" s="17"/>
      <c r="D13" s="34">
        <f>+D12/D5</f>
        <v>2.2983598531211751</v>
      </c>
      <c r="E13" s="57"/>
      <c r="F13" s="34"/>
      <c r="G13" s="34">
        <f>+G12/G5</f>
        <v>1.6123421491541579</v>
      </c>
      <c r="H13" s="57"/>
      <c r="I13" s="34"/>
      <c r="J13" s="34">
        <f>+J12/J5</f>
        <v>1.1249175926734922</v>
      </c>
      <c r="K13" s="57"/>
      <c r="L13" s="34"/>
      <c r="M13" s="34">
        <f>+M12/M5</f>
        <v>2.0068531321136498</v>
      </c>
      <c r="N13" s="57"/>
      <c r="O13" s="34"/>
      <c r="P13" s="34">
        <f>+P12/P5</f>
        <v>1.2061478559571779</v>
      </c>
      <c r="Q13" s="57"/>
      <c r="R13" s="34"/>
      <c r="S13" s="34">
        <f>+S12/S5</f>
        <v>1.4929988929435403</v>
      </c>
      <c r="T13" s="57"/>
      <c r="U13" s="34"/>
      <c r="V13" s="34">
        <f>+V12/V5</f>
        <v>3.1448343636294531</v>
      </c>
      <c r="W13" s="57"/>
      <c r="X13" s="34"/>
      <c r="Y13" s="34">
        <f>+Y12/Y5</f>
        <v>0.7603650662471817</v>
      </c>
      <c r="Z13" s="72"/>
      <c r="AA13" s="34"/>
      <c r="AB13" s="34">
        <f>+AB12/AB5</f>
        <v>1.5518497554705428E-3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1.2920823543082738</v>
      </c>
      <c r="AQ13" s="57"/>
      <c r="AR13" s="34"/>
      <c r="AS13" s="35">
        <f>+AS12/AS5</f>
        <v>1.2920823543082736</v>
      </c>
      <c r="AT13" s="57"/>
      <c r="AU13" s="34"/>
    </row>
    <row r="14" spans="2:47">
      <c r="B14" s="19" t="s">
        <v>16</v>
      </c>
      <c r="C14" s="17"/>
      <c r="D14" s="8">
        <f>+D5/D11</f>
        <v>20.425000000000001</v>
      </c>
      <c r="E14" s="57"/>
      <c r="F14" s="8"/>
      <c r="G14" s="8">
        <f>+G5/G11</f>
        <v>27.98</v>
      </c>
      <c r="H14" s="57"/>
      <c r="I14" s="8"/>
      <c r="J14" s="8">
        <f>+J5/J11</f>
        <v>41.966333333333331</v>
      </c>
      <c r="K14" s="57"/>
      <c r="L14" s="8"/>
      <c r="M14" s="8">
        <f>+M5/M11</f>
        <v>23.721999999999998</v>
      </c>
      <c r="N14" s="57"/>
      <c r="O14" s="8"/>
      <c r="P14" s="8">
        <f>+P5/P11</f>
        <v>38.926850000000002</v>
      </c>
      <c r="Q14" s="57"/>
      <c r="R14" s="8"/>
      <c r="S14" s="8">
        <f>+S5/S11</f>
        <v>32.518666666666668</v>
      </c>
      <c r="T14" s="57"/>
      <c r="U14" s="8"/>
      <c r="V14" s="8">
        <f>+V5/V11</f>
        <v>24.116583333333335</v>
      </c>
      <c r="W14" s="57"/>
      <c r="X14" s="8"/>
      <c r="Y14" s="8">
        <f>+Y5/Y11</f>
        <v>67.68086666666666</v>
      </c>
      <c r="Z14" s="72"/>
      <c r="AA14" s="8"/>
      <c r="AB14" s="8">
        <f>+AB5/AB11</f>
        <v>39.780483333333329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35.235198148148143</v>
      </c>
      <c r="AQ14" s="57"/>
      <c r="AR14" s="8"/>
      <c r="AS14" s="36">
        <f>+AS5/AS11</f>
        <v>35.235198148148143</v>
      </c>
      <c r="AT14" s="57"/>
      <c r="AU14" s="8"/>
    </row>
    <row r="15" spans="2:47">
      <c r="B15" s="10" t="s">
        <v>36</v>
      </c>
      <c r="C15" s="17"/>
      <c r="D15" s="8">
        <f>+D12/D11</f>
        <v>46.943999999999996</v>
      </c>
      <c r="E15" s="57"/>
      <c r="F15" s="8"/>
      <c r="G15" s="8">
        <f>+G12/G11</f>
        <v>45.113333333333337</v>
      </c>
      <c r="H15" s="57"/>
      <c r="I15" s="8"/>
      <c r="J15" s="8">
        <f>+J12/J11</f>
        <v>47.208666666666666</v>
      </c>
      <c r="K15" s="57"/>
      <c r="L15" s="8"/>
      <c r="M15" s="8">
        <f>+M12/M11</f>
        <v>47.606569999999998</v>
      </c>
      <c r="N15" s="57"/>
      <c r="O15" s="8"/>
      <c r="P15" s="8">
        <f>+P12/P11</f>
        <v>46.951536666666669</v>
      </c>
      <c r="Q15" s="57"/>
      <c r="R15" s="8"/>
      <c r="S15" s="8">
        <f>+S12/S11</f>
        <v>48.550333333333334</v>
      </c>
      <c r="T15" s="57"/>
      <c r="U15" s="8"/>
      <c r="V15" s="8">
        <f>+V12/V11</f>
        <v>75.842660000000009</v>
      </c>
      <c r="W15" s="57"/>
      <c r="X15" s="8"/>
      <c r="Y15" s="8">
        <f>+Y12/Y11</f>
        <v>51.462166666666668</v>
      </c>
      <c r="Z15" s="72"/>
      <c r="AA15" s="8"/>
      <c r="AB15" s="8">
        <f>+AB12/AB11</f>
        <v>6.1733333333333335E-2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45.526777777777774</v>
      </c>
      <c r="AQ15" s="57"/>
      <c r="AR15" s="8"/>
      <c r="AS15" s="36">
        <f>+AS12/AS11</f>
        <v>45.526777777777774</v>
      </c>
      <c r="AT15" s="57"/>
      <c r="AU15" s="8"/>
    </row>
    <row r="16" spans="2:47">
      <c r="B16" s="19" t="s">
        <v>21</v>
      </c>
      <c r="C16" s="17"/>
      <c r="D16" s="34">
        <f>+D12/D7</f>
        <v>29.316912931066806</v>
      </c>
      <c r="E16" s="57"/>
      <c r="F16" s="34"/>
      <c r="G16" s="34">
        <f>+G12/G7</f>
        <v>4.0894604988150718</v>
      </c>
      <c r="H16" s="57"/>
      <c r="I16" s="34"/>
      <c r="J16" s="34">
        <f>+J12/J7</f>
        <v>8.0793179477964241</v>
      </c>
      <c r="K16" s="57"/>
      <c r="L16" s="34"/>
      <c r="M16" s="34">
        <f>+M12/M7</f>
        <v>13.651477511147647</v>
      </c>
      <c r="N16" s="57"/>
      <c r="O16" s="34"/>
      <c r="P16" s="34">
        <f>+P12/P7</f>
        <v>1.8122163961296904</v>
      </c>
      <c r="Q16" s="57"/>
      <c r="R16" s="34"/>
      <c r="S16" s="34">
        <f>+S12/S7</f>
        <v>-3.8122616044158582</v>
      </c>
      <c r="T16" s="57"/>
      <c r="U16" s="34"/>
      <c r="V16" s="34">
        <f>+V12/V7</f>
        <v>6.1064550308854688</v>
      </c>
      <c r="W16" s="57"/>
      <c r="X16" s="34"/>
      <c r="Y16" s="34">
        <f>+Y12/Y7</f>
        <v>0.89303687315361213</v>
      </c>
      <c r="Z16" s="72"/>
      <c r="AA16" s="34"/>
      <c r="AB16" s="34">
        <f>+AB12/AB7</f>
        <v>3.3111771717576613E-3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3.3089962095312377</v>
      </c>
      <c r="AQ16" s="57"/>
      <c r="AR16" s="34"/>
      <c r="AS16" s="35">
        <f>+AS12/AS7</f>
        <v>3.3089962095312377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13567</v>
      </c>
      <c r="E18" s="58">
        <v>13567</v>
      </c>
      <c r="F18" s="67">
        <f>+D18/F4</f>
        <v>969.07142857142856</v>
      </c>
      <c r="G18" s="11">
        <v>12818</v>
      </c>
      <c r="H18" s="58">
        <v>12818</v>
      </c>
      <c r="I18" s="67">
        <f>+G18/I4</f>
        <v>915.57142857142856</v>
      </c>
      <c r="J18" s="11">
        <v>14413</v>
      </c>
      <c r="K18" s="58">
        <v>14413</v>
      </c>
      <c r="L18" s="67">
        <f>+J18/L4</f>
        <v>1029.5</v>
      </c>
      <c r="M18" s="11">
        <v>11023</v>
      </c>
      <c r="N18" s="58">
        <v>11023</v>
      </c>
      <c r="O18" s="67">
        <f>+M18/O4</f>
        <v>787.35714285714289</v>
      </c>
      <c r="P18" s="11">
        <v>10315</v>
      </c>
      <c r="Q18" s="58">
        <v>10315</v>
      </c>
      <c r="R18" s="67">
        <f>+P18/R4</f>
        <v>736.78571428571433</v>
      </c>
      <c r="S18" s="11">
        <v>10792</v>
      </c>
      <c r="T18" s="58">
        <v>10792</v>
      </c>
      <c r="U18" s="67">
        <f>+S18/U4</f>
        <v>770.85714285714289</v>
      </c>
      <c r="V18" s="11">
        <v>7565</v>
      </c>
      <c r="W18" s="58">
        <v>7565</v>
      </c>
      <c r="X18" s="67">
        <f>+V18/X4</f>
        <v>540.35714285714289</v>
      </c>
      <c r="Y18" s="11">
        <v>7410</v>
      </c>
      <c r="Z18" s="58">
        <v>7410</v>
      </c>
      <c r="AA18" s="67">
        <f>+Y18/AA4</f>
        <v>529.28571428571433</v>
      </c>
      <c r="AB18" s="11">
        <v>11565</v>
      </c>
      <c r="AC18" s="58">
        <v>11565</v>
      </c>
      <c r="AD18" s="67">
        <f>+AB18/AD4</f>
        <v>826.07142857142856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99468</v>
      </c>
      <c r="AQ18" s="67">
        <f t="shared" si="2"/>
        <v>99468</v>
      </c>
      <c r="AR18" s="67">
        <f>+AP18/AR4</f>
        <v>7104.8571428571431</v>
      </c>
      <c r="AS18" s="14">
        <f t="shared" ref="AS18:AT20" si="3">+AP18/$AS$4</f>
        <v>11052</v>
      </c>
      <c r="AT18" s="67">
        <f t="shared" si="3"/>
        <v>11052</v>
      </c>
      <c r="AU18" s="67">
        <f>+AS18/AU4</f>
        <v>789.42857142857144</v>
      </c>
    </row>
    <row r="19" spans="2:47">
      <c r="B19" s="18" t="s">
        <v>35</v>
      </c>
      <c r="C19" s="17"/>
      <c r="D19" s="11">
        <v>791</v>
      </c>
      <c r="E19" s="11">
        <v>791</v>
      </c>
      <c r="F19" s="67">
        <f>+D19/F4</f>
        <v>56.5</v>
      </c>
      <c r="G19" s="11">
        <v>818.98</v>
      </c>
      <c r="H19" s="58">
        <v>818.98</v>
      </c>
      <c r="I19" s="67">
        <f>+G19/I4</f>
        <v>58.498571428571431</v>
      </c>
      <c r="J19" s="11">
        <v>965.3</v>
      </c>
      <c r="K19" s="58">
        <v>965.3</v>
      </c>
      <c r="L19" s="67">
        <f>+J19/L4</f>
        <v>68.95</v>
      </c>
      <c r="M19" s="11">
        <v>830.65</v>
      </c>
      <c r="N19" s="58">
        <v>830.65</v>
      </c>
      <c r="O19" s="67">
        <f>+M19/O4</f>
        <v>59.332142857142856</v>
      </c>
      <c r="P19" s="11">
        <v>655.88</v>
      </c>
      <c r="Q19" s="11">
        <v>655.88</v>
      </c>
      <c r="R19" s="67">
        <f>+P19/R4</f>
        <v>46.848571428571425</v>
      </c>
      <c r="S19" s="11">
        <v>835.19</v>
      </c>
      <c r="T19" s="58">
        <v>835.19</v>
      </c>
      <c r="U19" s="67">
        <f>+S19/U4</f>
        <v>59.656428571428577</v>
      </c>
      <c r="V19" s="11">
        <v>588.74</v>
      </c>
      <c r="W19" s="11">
        <v>588.74</v>
      </c>
      <c r="X19" s="67">
        <f>+V19/X4</f>
        <v>42.052857142857142</v>
      </c>
      <c r="Y19" s="11">
        <v>530.23</v>
      </c>
      <c r="Z19" s="58">
        <v>530.23</v>
      </c>
      <c r="AA19" s="67">
        <f>+Y19/AA4</f>
        <v>37.873571428571431</v>
      </c>
      <c r="AB19" s="11">
        <v>851.09</v>
      </c>
      <c r="AC19" s="58">
        <v>851.09</v>
      </c>
      <c r="AD19" s="67">
        <f>+AB19/AD4</f>
        <v>60.792142857142856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6867.0599999999995</v>
      </c>
      <c r="AQ19" s="67">
        <f t="shared" si="2"/>
        <v>6867.0599999999995</v>
      </c>
      <c r="AR19" s="67">
        <f>+AP19/AR4</f>
        <v>490.50428571428569</v>
      </c>
      <c r="AS19" s="14">
        <f t="shared" si="3"/>
        <v>763.00666666666666</v>
      </c>
      <c r="AT19" s="67">
        <f t="shared" si="3"/>
        <v>763.00666666666666</v>
      </c>
      <c r="AU19" s="67">
        <f>+AS19/AU4</f>
        <v>54.500476190476192</v>
      </c>
    </row>
    <row r="20" spans="2:47">
      <c r="B20" s="18" t="s">
        <v>29</v>
      </c>
      <c r="C20" s="17"/>
      <c r="D20" s="11">
        <f>27.83606+9.27922</f>
        <v>37.115279999999998</v>
      </c>
      <c r="E20" s="59">
        <v>29.210999999999999</v>
      </c>
      <c r="F20" s="67">
        <f>+D20/F4</f>
        <v>2.6510914285714287</v>
      </c>
      <c r="G20" s="11">
        <f>22.611+8.469</f>
        <v>31.08</v>
      </c>
      <c r="H20" s="59">
        <v>31.081230000000001</v>
      </c>
      <c r="I20" s="67">
        <f>+G20/I4</f>
        <v>2.2199999999999998</v>
      </c>
      <c r="J20" s="11">
        <f>26.63335+8.2884</f>
        <v>34.921750000000003</v>
      </c>
      <c r="K20" s="59">
        <v>34.9392</v>
      </c>
      <c r="L20" s="67">
        <f>+J20/L4</f>
        <v>2.4944107142857144</v>
      </c>
      <c r="M20" s="11">
        <f>25.82304+6.64582</f>
        <v>32.468859999999999</v>
      </c>
      <c r="N20" s="59">
        <v>30.027999999999999</v>
      </c>
      <c r="O20" s="67">
        <f>+M20/O4</f>
        <v>2.3192042857142856</v>
      </c>
      <c r="P20" s="11">
        <f>19.564+4.5314</f>
        <v>24.095399999999998</v>
      </c>
      <c r="Q20" s="59">
        <v>24.095500000000001</v>
      </c>
      <c r="R20" s="67">
        <f>+P20/R4</f>
        <v>1.7210999999999999</v>
      </c>
      <c r="S20" s="11">
        <f>29.741+3.0195</f>
        <v>32.7605</v>
      </c>
      <c r="T20" s="59">
        <v>31.226710000000001</v>
      </c>
      <c r="U20" s="67">
        <f>+S20/U4</f>
        <v>2.3400357142857144</v>
      </c>
      <c r="V20" s="11">
        <f>19.13671+2.6788</f>
        <v>21.81551</v>
      </c>
      <c r="W20" s="59">
        <v>21.815560000000001</v>
      </c>
      <c r="X20" s="67">
        <f>+V20/X4</f>
        <v>1.5582507142857143</v>
      </c>
      <c r="Y20" s="11">
        <f>17.04552+2.517</f>
        <v>19.562519999999999</v>
      </c>
      <c r="Z20" s="59">
        <v>19.562539999999998</v>
      </c>
      <c r="AA20" s="67">
        <f>+Y20/AA4</f>
        <v>1.3973228571428571</v>
      </c>
      <c r="AB20" s="11">
        <f>39.99708+1.8356</f>
        <v>41.832679999999996</v>
      </c>
      <c r="AC20" s="59">
        <v>31.561050000000002</v>
      </c>
      <c r="AD20" s="67">
        <f>+AB20/AD4</f>
        <v>2.9880485714285712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275.65250000000003</v>
      </c>
      <c r="AQ20" s="67">
        <f t="shared" si="2"/>
        <v>253.52078999999998</v>
      </c>
      <c r="AR20" s="67">
        <f>+AP20/AR4</f>
        <v>19.689464285714287</v>
      </c>
      <c r="AS20" s="14">
        <f t="shared" si="3"/>
        <v>30.628055555555559</v>
      </c>
      <c r="AT20" s="67">
        <f t="shared" si="3"/>
        <v>28.168976666666666</v>
      </c>
      <c r="AU20" s="67">
        <f>+AS20/AU4</f>
        <v>2.1877182539682543</v>
      </c>
    </row>
    <row r="21" spans="2:47">
      <c r="B21" s="19" t="s">
        <v>19</v>
      </c>
      <c r="C21" s="17"/>
      <c r="D21" s="44">
        <f t="shared" ref="D21:E21" si="4">+D20/D19*1000</f>
        <v>46.921972187104927</v>
      </c>
      <c r="E21" s="60">
        <f t="shared" si="4"/>
        <v>36.929203539823007</v>
      </c>
      <c r="F21" s="60"/>
      <c r="G21" s="44">
        <f t="shared" ref="G21:H21" si="5">+G20/G19*1000</f>
        <v>37.949644679967761</v>
      </c>
      <c r="H21" s="60">
        <f t="shared" si="5"/>
        <v>37.951146548145253</v>
      </c>
      <c r="I21" s="60"/>
      <c r="J21" s="44">
        <f t="shared" ref="J21:K21" si="6">+J20/J19*1000</f>
        <v>36.177095203563667</v>
      </c>
      <c r="K21" s="60">
        <f t="shared" si="6"/>
        <v>36.195172485237748</v>
      </c>
      <c r="L21" s="60"/>
      <c r="M21" s="44">
        <f t="shared" ref="M21:N21" si="7">+M20/M19*1000</f>
        <v>39.088496960211884</v>
      </c>
      <c r="N21" s="60">
        <f t="shared" si="7"/>
        <v>36.150003009691204</v>
      </c>
      <c r="O21" s="60"/>
      <c r="P21" s="44">
        <f t="shared" ref="P21:Q21" si="8">+P20/P19*1000</f>
        <v>36.737512959687749</v>
      </c>
      <c r="Q21" s="60">
        <f t="shared" si="8"/>
        <v>36.737665426602433</v>
      </c>
      <c r="R21" s="60"/>
      <c r="S21" s="44">
        <f t="shared" ref="S21:T21" si="9">+S20/S19*1000</f>
        <v>39.225206240496171</v>
      </c>
      <c r="T21" s="60">
        <f t="shared" si="9"/>
        <v>37.388749865300106</v>
      </c>
      <c r="U21" s="60"/>
      <c r="V21" s="44">
        <f t="shared" ref="V21:AC21" si="10">+V20/V19*1000</f>
        <v>37.054574175357544</v>
      </c>
      <c r="W21" s="60">
        <f t="shared" si="10"/>
        <v>37.054659102490071</v>
      </c>
      <c r="X21" s="60"/>
      <c r="Y21" s="44">
        <f t="shared" ref="Y21" si="11">+Y20/Y19*1000</f>
        <v>36.894404315108538</v>
      </c>
      <c r="Z21" s="68">
        <f t="shared" si="10"/>
        <v>36.894442034588764</v>
      </c>
      <c r="AA21" s="68"/>
      <c r="AB21" s="44">
        <f t="shared" si="10"/>
        <v>49.151887579456925</v>
      </c>
      <c r="AC21" s="60">
        <f t="shared" si="10"/>
        <v>37.083093444876567</v>
      </c>
      <c r="AD21" s="68"/>
      <c r="AE21" s="44" t="e">
        <f t="shared" ref="AE21:AF21" si="12">+AE20/AE19*1000</f>
        <v>#DIV/0!</v>
      </c>
      <c r="AF21" s="60" t="e">
        <f t="shared" si="12"/>
        <v>#DIV/0!</v>
      </c>
      <c r="AG21" s="68"/>
      <c r="AH21" s="44" t="e">
        <f t="shared" ref="AH21:AI21" si="13">+AH20/AH19*1000</f>
        <v>#DIV/0!</v>
      </c>
      <c r="AI21" s="60" t="e">
        <f t="shared" si="13"/>
        <v>#DIV/0!</v>
      </c>
      <c r="AJ21" s="68"/>
      <c r="AK21" s="44" t="e">
        <f t="shared" ref="AK21:AL21" si="14">+AK20/AK19*1000</f>
        <v>#DIV/0!</v>
      </c>
      <c r="AL21" s="44" t="e">
        <f t="shared" si="14"/>
        <v>#DIV/0!</v>
      </c>
      <c r="AM21" s="17"/>
      <c r="AN21" s="17"/>
      <c r="AO21" s="17"/>
      <c r="AP21" s="45">
        <f>+AP20/AP19*1000</f>
        <v>40.141268606943882</v>
      </c>
      <c r="AQ21" s="68">
        <f>+AQ20/AQ19*1000</f>
        <v>36.918388655407114</v>
      </c>
      <c r="AR21" s="60"/>
      <c r="AS21" s="45">
        <f>+AS20/AS19*1000</f>
        <v>40.141268606943875</v>
      </c>
      <c r="AT21" s="68">
        <f>+AT20/AT19*1000</f>
        <v>36.918388655407114</v>
      </c>
    </row>
    <row r="22" spans="2:47">
      <c r="B22" s="19" t="s">
        <v>23</v>
      </c>
      <c r="C22" s="17"/>
      <c r="D22" s="46">
        <f>+D19/D18</f>
        <v>5.8303235792732368E-2</v>
      </c>
      <c r="E22" s="46">
        <f>+E19/E18</f>
        <v>5.8303235792732368E-2</v>
      </c>
      <c r="F22" s="61"/>
      <c r="G22" s="46">
        <f>+G19/G18</f>
        <v>6.3892963020752064E-2</v>
      </c>
      <c r="H22" s="46">
        <f>+H19/H18</f>
        <v>6.3892963020752064E-2</v>
      </c>
      <c r="I22" s="61"/>
      <c r="J22" s="46">
        <f>+J19/J18</f>
        <v>6.6974259349198637E-2</v>
      </c>
      <c r="K22" s="46">
        <f>+K19/K18</f>
        <v>6.6974259349198637E-2</v>
      </c>
      <c r="L22" s="61"/>
      <c r="M22" s="46">
        <f>+M19/M18</f>
        <v>7.5356073664156767E-2</v>
      </c>
      <c r="N22" s="46">
        <f>+N19/N18</f>
        <v>7.5356073664156767E-2</v>
      </c>
      <c r="O22" s="61"/>
      <c r="P22" s="46">
        <f>+P19/P18</f>
        <v>6.358507028599128E-2</v>
      </c>
      <c r="Q22" s="46">
        <f>+Q19/Q18</f>
        <v>6.358507028599128E-2</v>
      </c>
      <c r="R22" s="61"/>
      <c r="S22" s="46">
        <f>+S19/S18</f>
        <v>7.7389733135656044E-2</v>
      </c>
      <c r="T22" s="46">
        <f>+T19/T18</f>
        <v>7.7389733135656044E-2</v>
      </c>
      <c r="U22" s="61"/>
      <c r="V22" s="46">
        <f>+V19/V18</f>
        <v>7.7824190350297417E-2</v>
      </c>
      <c r="W22" s="46">
        <f>+W19/W18</f>
        <v>7.7824190350297417E-2</v>
      </c>
      <c r="X22" s="61"/>
      <c r="Y22" s="46">
        <f>+Y19/Y18</f>
        <v>7.1556005398110661E-2</v>
      </c>
      <c r="Z22" s="46">
        <f>+Z19/Z18</f>
        <v>7.1556005398110661E-2</v>
      </c>
      <c r="AA22" s="69"/>
      <c r="AB22" s="46">
        <f>+AB19/AB18</f>
        <v>7.3591872027669702E-2</v>
      </c>
      <c r="AC22" s="46">
        <f>+AC19/AC18</f>
        <v>7.3591872027669702E-2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6.9037881529738207E-2</v>
      </c>
      <c r="AQ22" s="46">
        <f>+AQ19/AQ18</f>
        <v>6.9037881529738207E-2</v>
      </c>
      <c r="AR22" s="69"/>
      <c r="AS22" s="47">
        <f>+AS19/AS18</f>
        <v>6.9037881529738207E-2</v>
      </c>
      <c r="AT22" s="46">
        <f>+AT19/AT18</f>
        <v>6.9037881529738207E-2</v>
      </c>
    </row>
    <row r="23" spans="2:47">
      <c r="B23" s="10" t="s">
        <v>30</v>
      </c>
      <c r="C23" s="10"/>
      <c r="D23" s="48">
        <f>+D20*1000/(D18*D21)*100</f>
        <v>5.8303235792732364</v>
      </c>
      <c r="E23" s="48">
        <f>+E20*1000/(E18*E21)*100</f>
        <v>5.8303235792732364</v>
      </c>
      <c r="F23" s="62"/>
      <c r="G23" s="48">
        <f>+G20*1000/(G18*G21)*100</f>
        <v>6.3892963020752065</v>
      </c>
      <c r="H23" s="48">
        <f>+H20*1000/(H18*H21)*100</f>
        <v>6.3892963020752074</v>
      </c>
      <c r="I23" s="62"/>
      <c r="J23" s="48">
        <f>+J20*1000/(J18*J21)*100</f>
        <v>6.6974259349198624</v>
      </c>
      <c r="K23" s="48">
        <f>+K20*1000/(K18*K21)*100</f>
        <v>6.6974259349198633</v>
      </c>
      <c r="L23" s="62"/>
      <c r="M23" s="48">
        <f>+M20*1000/(M18*M21)*100</f>
        <v>7.5356073664156771</v>
      </c>
      <c r="N23" s="48">
        <f>+N20*1000/(N18*N21)*100</f>
        <v>7.5356073664156771</v>
      </c>
      <c r="O23" s="62"/>
      <c r="P23" s="48">
        <f>+P20*1000/(P18*P21)*100</f>
        <v>6.358507028599127</v>
      </c>
      <c r="Q23" s="48">
        <f>+Q20*1000/(Q18*Q21)*100</f>
        <v>6.358507028599127</v>
      </c>
      <c r="R23" s="62"/>
      <c r="S23" s="48">
        <f>+S20*1000/(S18*S21)*100</f>
        <v>7.7389733135656043</v>
      </c>
      <c r="T23" s="48">
        <f>+T20*1000/(T18*T21)*100</f>
        <v>7.7389733135656043</v>
      </c>
      <c r="U23" s="62"/>
      <c r="V23" s="48">
        <f>+V20*1000/(V18*V21)*100</f>
        <v>7.7824190350297417</v>
      </c>
      <c r="W23" s="48">
        <f>+W20*1000/(W18*W21)*100</f>
        <v>7.7824190350297417</v>
      </c>
      <c r="X23" s="62"/>
      <c r="Y23" s="48">
        <f>+Y20*1000/(Y18*Y21)*100</f>
        <v>7.1556005398110658</v>
      </c>
      <c r="Z23" s="48">
        <f>+Z20*1000/(Z18*Z21)*100</f>
        <v>7.1556005398110649</v>
      </c>
      <c r="AA23" s="70"/>
      <c r="AB23" s="48">
        <f>+AB20*1000/(AB18*AB21)*100</f>
        <v>7.3591872027669689</v>
      </c>
      <c r="AC23" s="48">
        <f>+AC20*1000/(AC18*AC21)*100</f>
        <v>7.3591872027669698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6.903788152973819</v>
      </c>
      <c r="AQ23" s="48">
        <f>+AQ20*1000/(AQ18*AQ21)*100</f>
        <v>6.9037881529738208</v>
      </c>
      <c r="AR23" s="70"/>
      <c r="AS23" s="49">
        <f>+AS20/(AS18*AS21)*1000*100</f>
        <v>6.9037881529738208</v>
      </c>
      <c r="AT23" s="48">
        <f>+AT20*1000/(AT18*AT21)*100</f>
        <v>6.9037881529738208</v>
      </c>
    </row>
    <row r="24" spans="2:47">
      <c r="B24" s="19" t="s">
        <v>39</v>
      </c>
      <c r="C24" s="10"/>
      <c r="D24" s="49">
        <f>+D20/D18*1000</f>
        <v>2.7357028082848083</v>
      </c>
      <c r="E24" s="48">
        <f>+E20/E18*1000</f>
        <v>2.1530920616201077</v>
      </c>
      <c r="F24" s="62"/>
      <c r="G24" s="49">
        <f>+G20/G18*1000</f>
        <v>2.4247152441878606</v>
      </c>
      <c r="H24" s="48">
        <f>+H20/H18*1000</f>
        <v>2.4248112029957869</v>
      </c>
      <c r="I24" s="62"/>
      <c r="J24" s="49">
        <f>+J20/J18*1000</f>
        <v>2.4229341566641232</v>
      </c>
      <c r="K24" s="48">
        <f>+K20/K18*1000</f>
        <v>2.4241448692152918</v>
      </c>
      <c r="L24" s="62"/>
      <c r="M24" s="49">
        <f>+M20/M18*1000</f>
        <v>2.9455556563548941</v>
      </c>
      <c r="N24" s="48">
        <f>+N20/N18*1000</f>
        <v>2.724122289757779</v>
      </c>
      <c r="O24" s="62"/>
      <c r="P24" s="49">
        <f>+P20/P18*1000</f>
        <v>2.3359573436742607</v>
      </c>
      <c r="Q24" s="48">
        <f>+Q20/Q18*1000</f>
        <v>2.335967038293747</v>
      </c>
      <c r="R24" s="62"/>
      <c r="S24" s="49">
        <f>+S20/S18*1000</f>
        <v>3.0356282431430688</v>
      </c>
      <c r="T24" s="48">
        <f>+T20/T18*1000</f>
        <v>2.8935053743513715</v>
      </c>
      <c r="U24" s="62"/>
      <c r="V24" s="49">
        <f>+V20/V18*1000</f>
        <v>2.8837422339722405</v>
      </c>
      <c r="W24" s="48">
        <f>+W20/W18*1000</f>
        <v>2.883748843357568</v>
      </c>
      <c r="X24" s="62"/>
      <c r="Y24" s="49">
        <f>+Y20/Y18*1000</f>
        <v>2.640016194331984</v>
      </c>
      <c r="Z24" s="48">
        <f>+Z20/Z18*1000</f>
        <v>2.6400188933873143</v>
      </c>
      <c r="AA24" s="70"/>
      <c r="AB24" s="49">
        <f>+AB20/AB18*1000</f>
        <v>3.6171794206658014</v>
      </c>
      <c r="AC24" s="48">
        <f>+AC20/AC18*1000</f>
        <v>2.7290142671854736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2.7712681465395912</v>
      </c>
      <c r="AQ24" s="48">
        <f>+AQ20/AQ18*1000</f>
        <v>2.5487673422608275</v>
      </c>
      <c r="AR24" s="70"/>
      <c r="AS24" s="49">
        <f>+AS20/AS18*1000</f>
        <v>2.7712681465395907</v>
      </c>
      <c r="AT24" s="48">
        <f>+AT20/AT18*1000</f>
        <v>2.5487673422608279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3320.3412468930751</v>
      </c>
      <c r="E26" s="63"/>
      <c r="F26" s="63"/>
      <c r="G26" s="22">
        <f>+G8/(1-G6/G5)</f>
        <v>529.82023294877172</v>
      </c>
      <c r="H26" s="63"/>
      <c r="I26" s="63"/>
      <c r="J26" s="22">
        <f>+J8/(1-J6/J5)</f>
        <v>1580.8365087581192</v>
      </c>
      <c r="K26" s="63"/>
      <c r="L26" s="63"/>
      <c r="M26" s="22">
        <f>+M8/(1-M6/M5)</f>
        <v>1816.2011344073942</v>
      </c>
      <c r="N26" s="63"/>
      <c r="O26" s="63"/>
      <c r="P26" s="22">
        <f>+P8/(1-P6/P5)</f>
        <v>334.72395741280314</v>
      </c>
      <c r="Q26" s="63"/>
      <c r="R26" s="63"/>
      <c r="S26" s="22">
        <f>+S8/(1-S6/S5)</f>
        <v>-571.39026177349933</v>
      </c>
      <c r="T26" s="63"/>
      <c r="U26" s="63"/>
      <c r="V26" s="22">
        <f>+V8/(1-V6/V5)</f>
        <v>602.70875874658884</v>
      </c>
      <c r="W26" s="63"/>
      <c r="X26" s="63"/>
      <c r="Y26" s="22">
        <f>+Y8/(1-Y6/Y5)</f>
        <v>0</v>
      </c>
      <c r="Z26" s="73"/>
      <c r="AA26" s="73"/>
      <c r="AB26" s="22">
        <f>+AB8/(1-AB6/AB5)</f>
        <v>218.4089591575146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4649.7342113703507</v>
      </c>
      <c r="AQ26" s="71"/>
      <c r="AR26" s="71"/>
      <c r="AS26" s="32">
        <f>+AS8/(1-AS6/AS5)</f>
        <v>516.63713459670555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AU78"/>
  <sheetViews>
    <sheetView tabSelected="1" workbookViewId="0">
      <pane xSplit="3" ySplit="4" topLeftCell="N5" activePane="bottomRight" state="frozen"/>
      <selection pane="topRight" activeCell="C1" sqref="C1"/>
      <selection pane="bottomLeft" activeCell="A5" sqref="A5"/>
      <selection pane="bottomRight" activeCell="AL1" sqref="AL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54</v>
      </c>
      <c r="E3" s="24" t="s">
        <v>26</v>
      </c>
      <c r="F3" s="3" t="s">
        <v>38</v>
      </c>
      <c r="G3" s="4" t="s">
        <v>53</v>
      </c>
      <c r="H3" s="24" t="s">
        <v>26</v>
      </c>
      <c r="I3" s="3" t="s">
        <v>38</v>
      </c>
      <c r="J3" s="4" t="s">
        <v>52</v>
      </c>
      <c r="K3" s="24" t="s">
        <v>26</v>
      </c>
      <c r="L3" s="3" t="s">
        <v>38</v>
      </c>
      <c r="M3" s="4" t="s">
        <v>51</v>
      </c>
      <c r="N3" s="24" t="s">
        <v>26</v>
      </c>
      <c r="O3" s="3" t="s">
        <v>38</v>
      </c>
      <c r="P3" s="4" t="s">
        <v>50</v>
      </c>
      <c r="Q3" s="24" t="s">
        <v>26</v>
      </c>
      <c r="R3" s="3" t="s">
        <v>38</v>
      </c>
      <c r="S3" s="4" t="s">
        <v>49</v>
      </c>
      <c r="T3" s="24" t="s">
        <v>26</v>
      </c>
      <c r="U3" s="3" t="s">
        <v>38</v>
      </c>
      <c r="V3" s="4" t="s">
        <v>43</v>
      </c>
      <c r="W3" s="24" t="s">
        <v>26</v>
      </c>
      <c r="X3" s="3" t="s">
        <v>38</v>
      </c>
      <c r="Y3" s="4" t="s">
        <v>44</v>
      </c>
      <c r="Z3" s="24" t="s">
        <v>26</v>
      </c>
      <c r="AA3" s="3" t="s">
        <v>38</v>
      </c>
      <c r="AB3" s="4" t="s">
        <v>45</v>
      </c>
      <c r="AC3" s="24" t="s">
        <v>26</v>
      </c>
      <c r="AD3" s="3" t="s">
        <v>38</v>
      </c>
      <c r="AE3" s="4" t="s">
        <v>46</v>
      </c>
      <c r="AF3" s="24" t="s">
        <v>26</v>
      </c>
      <c r="AG3" s="3" t="s">
        <v>38</v>
      </c>
      <c r="AH3" s="4" t="s">
        <v>47</v>
      </c>
      <c r="AI3" s="24" t="s">
        <v>26</v>
      </c>
      <c r="AJ3" s="3" t="s">
        <v>38</v>
      </c>
      <c r="AK3" s="4" t="s">
        <v>48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12</v>
      </c>
      <c r="G4" s="42"/>
      <c r="H4" s="3" t="s">
        <v>28</v>
      </c>
      <c r="I4" s="3">
        <v>12</v>
      </c>
      <c r="J4" s="42"/>
      <c r="K4" s="3" t="s">
        <v>28</v>
      </c>
      <c r="L4" s="3">
        <v>12</v>
      </c>
      <c r="M4" s="42"/>
      <c r="N4" s="3" t="s">
        <v>28</v>
      </c>
      <c r="O4" s="3">
        <v>12</v>
      </c>
      <c r="P4" s="42"/>
      <c r="Q4" s="3" t="s">
        <v>28</v>
      </c>
      <c r="R4" s="3">
        <v>12</v>
      </c>
      <c r="S4" s="42"/>
      <c r="T4" s="3" t="s">
        <v>28</v>
      </c>
      <c r="U4" s="3">
        <v>12</v>
      </c>
      <c r="V4" s="42"/>
      <c r="W4" s="3" t="s">
        <v>28</v>
      </c>
      <c r="X4" s="3">
        <v>12</v>
      </c>
      <c r="Y4" s="50"/>
      <c r="Z4" s="3" t="s">
        <v>28</v>
      </c>
      <c r="AA4" s="3">
        <v>12</v>
      </c>
      <c r="AB4" s="50"/>
      <c r="AC4" s="3" t="s">
        <v>28</v>
      </c>
      <c r="AD4" s="3">
        <v>12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12</v>
      </c>
      <c r="AS4" s="42">
        <v>9</v>
      </c>
      <c r="AT4" s="3" t="s">
        <v>28</v>
      </c>
      <c r="AU4" s="88">
        <f>+AR4</f>
        <v>12</v>
      </c>
    </row>
    <row r="5" spans="2:47">
      <c r="B5" s="10" t="s">
        <v>3</v>
      </c>
      <c r="C5" s="17"/>
      <c r="D5" s="9">
        <f>0.25545+92.4023</f>
        <v>92.657749999999993</v>
      </c>
      <c r="E5" s="54">
        <f>+D5/D5</f>
        <v>1</v>
      </c>
      <c r="F5" s="84">
        <f>+D5/F4</f>
        <v>7.7214791666666658</v>
      </c>
      <c r="G5" s="9">
        <f>0.1196+103.279</f>
        <v>103.3986</v>
      </c>
      <c r="H5" s="54">
        <f>+G5/G5</f>
        <v>1</v>
      </c>
      <c r="I5" s="84">
        <f>+G5/I4</f>
        <v>8.6165500000000002</v>
      </c>
      <c r="J5" s="9">
        <f>2.735+114.213</f>
        <v>116.94799999999999</v>
      </c>
      <c r="K5" s="54">
        <f>+J5/J5</f>
        <v>1</v>
      </c>
      <c r="L5" s="84">
        <f>+J5/L4</f>
        <v>9.7456666666666667</v>
      </c>
      <c r="M5" s="9">
        <f>0.2396+119.4001</f>
        <v>119.63969999999999</v>
      </c>
      <c r="N5" s="54">
        <f>+M5/M5</f>
        <v>1</v>
      </c>
      <c r="O5" s="84">
        <f>+M5/O4</f>
        <v>9.9699749999999998</v>
      </c>
      <c r="P5" s="9">
        <f>0.1199+96.5853</f>
        <v>96.705200000000005</v>
      </c>
      <c r="Q5" s="54">
        <f>+P5/P5</f>
        <v>1</v>
      </c>
      <c r="R5" s="84">
        <f>+P5/R4</f>
        <v>8.0587666666666671</v>
      </c>
      <c r="S5" s="9">
        <f>0.2404+107.1775</f>
        <v>107.41789999999999</v>
      </c>
      <c r="T5" s="54">
        <f>+S5/S5</f>
        <v>1</v>
      </c>
      <c r="U5" s="84">
        <f>+S5/U4</f>
        <v>8.9514916666666657</v>
      </c>
      <c r="V5" s="9">
        <f>0.59664+139.345</f>
        <v>139.94164000000001</v>
      </c>
      <c r="W5" s="54">
        <f>+V5/V5</f>
        <v>1</v>
      </c>
      <c r="X5" s="84">
        <f>+V5/X4</f>
        <v>11.661803333333333</v>
      </c>
      <c r="Y5" s="9">
        <f>0.239+119.8082</f>
        <v>120.0472</v>
      </c>
      <c r="Z5" s="54">
        <f>+Y5/Y5</f>
        <v>1</v>
      </c>
      <c r="AA5" s="84">
        <f>+Y5/AA4</f>
        <v>10.003933333333334</v>
      </c>
      <c r="AB5" s="9">
        <f>0.2396+114.7046</f>
        <v>114.9442</v>
      </c>
      <c r="AC5" s="54">
        <f>+AB5/$AB$5</f>
        <v>1</v>
      </c>
      <c r="AD5" s="84">
        <f>+AB5/AD4</f>
        <v>9.5786833333333323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1011.7001899999999</v>
      </c>
      <c r="AQ5" s="64">
        <f>+AP5/$AP$5</f>
        <v>1</v>
      </c>
      <c r="AR5" s="84">
        <f>+AP5/AR4</f>
        <v>84.308349166666659</v>
      </c>
      <c r="AS5" s="31">
        <f>+AP5/$AS$4</f>
        <v>112.41113222222221</v>
      </c>
      <c r="AT5" s="57"/>
      <c r="AU5" s="84">
        <f>+AS5/AU4</f>
        <v>9.3675943518518512</v>
      </c>
    </row>
    <row r="6" spans="2:47">
      <c r="B6" s="7" t="s">
        <v>4</v>
      </c>
      <c r="C6" s="17"/>
      <c r="D6" s="11">
        <f>22.74836+2.8926+21.3638</f>
        <v>47.004760000000005</v>
      </c>
      <c r="E6" s="55">
        <f>+D6/D5</f>
        <v>0.50729442491318866</v>
      </c>
      <c r="F6" s="85">
        <f>+D6/F4</f>
        <v>3.9170633333333336</v>
      </c>
      <c r="G6" s="11">
        <f>17.79883+1.9259+0.60023+22.799</f>
        <v>43.123959999999997</v>
      </c>
      <c r="H6" s="55">
        <f>+G6/G5</f>
        <v>0.41706522138597618</v>
      </c>
      <c r="I6" s="85">
        <f>+G6/I4</f>
        <v>3.5936633333333332</v>
      </c>
      <c r="J6" s="11">
        <f>22.38244+3.9275+0.90032+27.866</f>
        <v>55.076259999999998</v>
      </c>
      <c r="K6" s="55">
        <f>+J6/J5</f>
        <v>0.47094657454595207</v>
      </c>
      <c r="L6" s="85">
        <f>+J6/L4</f>
        <v>4.5896883333333331</v>
      </c>
      <c r="M6" s="11">
        <f>22.03158+1.6916+4.08466+14.151</f>
        <v>41.958840000000002</v>
      </c>
      <c r="N6" s="55">
        <f>+M6/M5</f>
        <v>0.35071000679540326</v>
      </c>
      <c r="O6" s="85">
        <f>+M6/O4</f>
        <v>3.4965700000000002</v>
      </c>
      <c r="P6" s="11">
        <f>18.10436+2.5342+4.45+49.597</f>
        <v>74.685559999999995</v>
      </c>
      <c r="Q6" s="55">
        <f>+P6/P5</f>
        <v>0.77230138606817411</v>
      </c>
      <c r="R6" s="85">
        <f>+P6/R4</f>
        <v>6.223796666666666</v>
      </c>
      <c r="S6" s="11">
        <f>21.8958+2.5866+0.79242+11.833</f>
        <v>37.107820000000004</v>
      </c>
      <c r="T6" s="55">
        <f>+S6/S5</f>
        <v>0.34545285282992877</v>
      </c>
      <c r="U6" s="85">
        <f>+S6/U4</f>
        <v>3.0923183333333335</v>
      </c>
      <c r="V6" s="11">
        <f>16.095+1.5405+0.16214</f>
        <v>17.797640000000001</v>
      </c>
      <c r="W6" s="55">
        <f>+V6/V5</f>
        <v>0.12717901548102481</v>
      </c>
      <c r="X6" s="85">
        <f>+V6/X4</f>
        <v>1.4831366666666668</v>
      </c>
      <c r="Y6" s="11">
        <f>11.4669+2.918+1.48121+11.209</f>
        <v>27.075110000000002</v>
      </c>
      <c r="Z6" s="55">
        <f>+Y6/Y5</f>
        <v>0.22553720536588942</v>
      </c>
      <c r="AA6" s="85">
        <f>+Y6/AA4</f>
        <v>2.2562591666666667</v>
      </c>
      <c r="AB6" s="11">
        <f>17.86779+1.9495+0.06777+13.657</f>
        <v>33.542059999999999</v>
      </c>
      <c r="AC6" s="55">
        <f>+AB6/$AB$5</f>
        <v>0.2918116790581865</v>
      </c>
      <c r="AD6" s="85">
        <f>+AB6/AD4</f>
        <v>2.7951716666666666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377.37201000000005</v>
      </c>
      <c r="AQ6" s="65">
        <f>+AP6/$AP$5</f>
        <v>0.37300774847141233</v>
      </c>
      <c r="AR6" s="85">
        <f>+AP6/AR4</f>
        <v>31.447667500000005</v>
      </c>
      <c r="AS6" s="14">
        <f t="shared" ref="AS6:AS9" si="0">+AP6/$AS$4</f>
        <v>41.930223333333338</v>
      </c>
      <c r="AT6" s="57"/>
      <c r="AU6" s="85">
        <f>+AS6/AU4</f>
        <v>3.494185277777778</v>
      </c>
    </row>
    <row r="7" spans="2:47">
      <c r="B7" s="10" t="s">
        <v>7</v>
      </c>
      <c r="C7" s="17"/>
      <c r="D7" s="8">
        <f>+D5-D6</f>
        <v>45.652989999999988</v>
      </c>
      <c r="E7" s="56">
        <f>+D7/D5</f>
        <v>0.49270557508681134</v>
      </c>
      <c r="F7" s="86">
        <f>+F5-F6</f>
        <v>3.8044158333333322</v>
      </c>
      <c r="G7" s="8">
        <f>+G5-G6</f>
        <v>60.274640000000005</v>
      </c>
      <c r="H7" s="56">
        <f>+G7/G5</f>
        <v>0.58293477861402387</v>
      </c>
      <c r="I7" s="86">
        <f>+I5-I6</f>
        <v>5.0228866666666665</v>
      </c>
      <c r="J7" s="8">
        <f>+J5-J6</f>
        <v>61.871739999999996</v>
      </c>
      <c r="K7" s="56">
        <f>+J7/J5</f>
        <v>0.52905342545404799</v>
      </c>
      <c r="L7" s="86">
        <f>+L5-L6</f>
        <v>5.1559783333333336</v>
      </c>
      <c r="M7" s="8">
        <f>+M5-M6</f>
        <v>77.680859999999996</v>
      </c>
      <c r="N7" s="56">
        <f>+M7/M5</f>
        <v>0.64928999320459679</v>
      </c>
      <c r="O7" s="86">
        <f>+O5-O6</f>
        <v>6.4734049999999996</v>
      </c>
      <c r="P7" s="8">
        <f>+P5-P6</f>
        <v>22.01964000000001</v>
      </c>
      <c r="Q7" s="56">
        <f>+P7/P5</f>
        <v>0.22769861393182589</v>
      </c>
      <c r="R7" s="86">
        <f>+R5-R6</f>
        <v>1.8349700000000011</v>
      </c>
      <c r="S7" s="8">
        <f>+S5-S6</f>
        <v>70.310079999999985</v>
      </c>
      <c r="T7" s="56">
        <f>+S7/S5</f>
        <v>0.65454714717007123</v>
      </c>
      <c r="U7" s="86">
        <f>+U5-U6</f>
        <v>5.8591733333333327</v>
      </c>
      <c r="V7" s="8">
        <f>+V5-V6</f>
        <v>122.14400000000001</v>
      </c>
      <c r="W7" s="56">
        <f>+V7/V5</f>
        <v>0.87282098451897516</v>
      </c>
      <c r="X7" s="86">
        <f>+X5-X6</f>
        <v>10.178666666666667</v>
      </c>
      <c r="Y7" s="8">
        <f>+Y5-Y6</f>
        <v>92.972090000000009</v>
      </c>
      <c r="Z7" s="56">
        <f>+Y7/Y5</f>
        <v>0.77446279463411061</v>
      </c>
      <c r="AA7" s="86">
        <f>+AA5-AA6</f>
        <v>7.747674166666668</v>
      </c>
      <c r="AB7" s="8">
        <f>+AB5-AB6</f>
        <v>81.402140000000003</v>
      </c>
      <c r="AC7" s="56">
        <f>+AB7/$AB$5</f>
        <v>0.70818832094181361</v>
      </c>
      <c r="AD7" s="86">
        <f>+AD5-AD6</f>
        <v>6.7835116666666657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634.32817999999997</v>
      </c>
      <c r="AQ7" s="65">
        <f>+AP7/$AP$5</f>
        <v>0.62699225152858773</v>
      </c>
      <c r="AR7" s="86">
        <f>+AR5-AR6</f>
        <v>52.86068166666665</v>
      </c>
      <c r="AS7" s="13">
        <f t="shared" si="0"/>
        <v>70.480908888888891</v>
      </c>
      <c r="AT7" s="57"/>
      <c r="AU7" s="86">
        <f>+AU5-AU6</f>
        <v>5.8734090740740736</v>
      </c>
    </row>
    <row r="8" spans="2:47">
      <c r="B8" s="7" t="s">
        <v>5</v>
      </c>
      <c r="C8" s="17"/>
      <c r="D8" s="11">
        <v>187.41300000000001</v>
      </c>
      <c r="E8" s="55">
        <f>+D8/D5</f>
        <v>2.0226370702936345</v>
      </c>
      <c r="F8" s="85">
        <f>+D8/F4</f>
        <v>15.617750000000001</v>
      </c>
      <c r="G8" s="11">
        <v>221.00339</v>
      </c>
      <c r="H8" s="55">
        <f>+G8/G5</f>
        <v>2.1373924792018459</v>
      </c>
      <c r="I8" s="85">
        <f>+G8/I4</f>
        <v>18.416949166666665</v>
      </c>
      <c r="J8" s="11">
        <v>198.96776</v>
      </c>
      <c r="K8" s="55">
        <f>+J8/J5</f>
        <v>1.7013352943188427</v>
      </c>
      <c r="L8" s="85">
        <f>+J8/L4</f>
        <v>16.580646666666667</v>
      </c>
      <c r="M8" s="11">
        <v>185.70946000000001</v>
      </c>
      <c r="N8" s="55">
        <f>+M8/M5</f>
        <v>1.5522394322285999</v>
      </c>
      <c r="O8" s="85">
        <f>+M8/O4</f>
        <v>15.475788333333334</v>
      </c>
      <c r="P8" s="11">
        <v>208.54400000000001</v>
      </c>
      <c r="Q8" s="55">
        <f>+P8/P5</f>
        <v>2.1564921017690879</v>
      </c>
      <c r="R8" s="85">
        <f>+P8/R4</f>
        <v>17.378666666666668</v>
      </c>
      <c r="S8" s="11">
        <v>212.18</v>
      </c>
      <c r="T8" s="55">
        <f>+S8/S5</f>
        <v>1.9752760014857862</v>
      </c>
      <c r="U8" s="85">
        <f>+S8/U4</f>
        <v>17.681666666666668</v>
      </c>
      <c r="V8" s="11">
        <v>290.82087000000001</v>
      </c>
      <c r="W8" s="55">
        <f>+V8/V5</f>
        <v>2.078158223670953</v>
      </c>
      <c r="X8" s="85">
        <f>+V8/X4</f>
        <v>24.235072500000001</v>
      </c>
      <c r="Y8" s="11">
        <v>201.28040999999999</v>
      </c>
      <c r="Z8" s="55">
        <f>+Y8/Y5</f>
        <v>1.6766772569456012</v>
      </c>
      <c r="AA8" s="85">
        <f>+Y8/AA4</f>
        <v>16.773367499999999</v>
      </c>
      <c r="AB8" s="11">
        <v>201.053</v>
      </c>
      <c r="AC8" s="55">
        <f>+AB8/$AB$5</f>
        <v>1.7491356675673937</v>
      </c>
      <c r="AD8" s="85">
        <f>+AB8/AD4</f>
        <v>16.754416666666668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1906.9718900000003</v>
      </c>
      <c r="AQ8" s="65">
        <f>+AP8/$AP$5</f>
        <v>1.884917991366593</v>
      </c>
      <c r="AR8" s="67">
        <f>+AP8/AR4</f>
        <v>158.91432416666669</v>
      </c>
      <c r="AS8" s="14">
        <f t="shared" si="0"/>
        <v>211.88576555555559</v>
      </c>
      <c r="AT8" s="57"/>
      <c r="AU8" s="85">
        <f>+AS8/AU4</f>
        <v>17.657147129629632</v>
      </c>
    </row>
    <row r="9" spans="2:47">
      <c r="B9" s="19" t="s">
        <v>14</v>
      </c>
      <c r="C9" s="17"/>
      <c r="D9" s="15">
        <f>+D5-D6-D8</f>
        <v>-141.76001000000002</v>
      </c>
      <c r="E9" s="54">
        <f>+D9/D5</f>
        <v>-1.5299314952068233</v>
      </c>
      <c r="F9" s="15">
        <f>+F5-F6-F8</f>
        <v>-11.813334166666669</v>
      </c>
      <c r="G9" s="15">
        <f>+G5-G6-G8</f>
        <v>-160.72874999999999</v>
      </c>
      <c r="H9" s="54">
        <f>+G9/G5</f>
        <v>-1.5544577005878222</v>
      </c>
      <c r="I9" s="15">
        <f>+I5-I6-I8</f>
        <v>-13.394062499999999</v>
      </c>
      <c r="J9" s="15">
        <f>+J5-J6-J8</f>
        <v>-137.09602000000001</v>
      </c>
      <c r="K9" s="54">
        <f>+J9/J5</f>
        <v>-1.1722818688647947</v>
      </c>
      <c r="L9" s="15">
        <f>+L5-L6-L8</f>
        <v>-11.424668333333333</v>
      </c>
      <c r="M9" s="15">
        <f>+M5-M6-M8</f>
        <v>-108.02860000000001</v>
      </c>
      <c r="N9" s="54">
        <f>+M9/M5</f>
        <v>-0.90294943902400304</v>
      </c>
      <c r="O9" s="15">
        <f>+O5-O6-O8</f>
        <v>-9.0023833333333343</v>
      </c>
      <c r="P9" s="15">
        <f>+P5-P6-P8</f>
        <v>-186.52436</v>
      </c>
      <c r="Q9" s="54">
        <f>+P9/P5</f>
        <v>-1.9287934878372621</v>
      </c>
      <c r="R9" s="15">
        <f>+R5-R6-R8</f>
        <v>-15.543696666666666</v>
      </c>
      <c r="S9" s="15">
        <f>+S5-S6-S8</f>
        <v>-141.86992000000004</v>
      </c>
      <c r="T9" s="54">
        <f>+S9/S5</f>
        <v>-1.3207288543157152</v>
      </c>
      <c r="U9" s="15">
        <f>+U5-U6-U8</f>
        <v>-11.822493333333336</v>
      </c>
      <c r="V9" s="15">
        <f>+V5-V6-V8</f>
        <v>-168.67687000000001</v>
      </c>
      <c r="W9" s="54">
        <f>+V9/V5</f>
        <v>-1.2053372391519779</v>
      </c>
      <c r="X9" s="15">
        <f>+X5-X6-X8</f>
        <v>-14.056405833333335</v>
      </c>
      <c r="Y9" s="15">
        <f>+Y5-Y6-Y8</f>
        <v>-108.30831999999998</v>
      </c>
      <c r="Z9" s="54">
        <f>+Y9/Y5</f>
        <v>-0.90221446231149061</v>
      </c>
      <c r="AA9" s="15">
        <f>+AA5-AA6-AA8</f>
        <v>-9.0256933333333311</v>
      </c>
      <c r="AB9" s="15">
        <f>+AB5-AB6-AB8</f>
        <v>-119.65085999999999</v>
      </c>
      <c r="AC9" s="54">
        <f>+AB9/$AB$5</f>
        <v>-1.0409473466255801</v>
      </c>
      <c r="AD9" s="15">
        <f>+AD5-AD6-AD8</f>
        <v>-9.9709050000000019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-1272.6437099999998</v>
      </c>
      <c r="AQ9" s="64">
        <f>+AP9/$AP$5</f>
        <v>-1.2579257398380048</v>
      </c>
      <c r="AR9" s="15">
        <f>+AR5-AR6-AR8</f>
        <v>-106.05364250000004</v>
      </c>
      <c r="AS9" s="30">
        <f t="shared" si="0"/>
        <v>-141.40485666666666</v>
      </c>
      <c r="AT9" s="57"/>
      <c r="AU9" s="15">
        <f>+AU5-AU6-AU8</f>
        <v>-11.783738055555558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2</v>
      </c>
      <c r="E11" s="57"/>
      <c r="F11" s="85">
        <f>+D11/F4</f>
        <v>0.16666666666666666</v>
      </c>
      <c r="G11" s="33">
        <v>3</v>
      </c>
      <c r="H11" s="57"/>
      <c r="I11" s="85">
        <f>+G11/I4</f>
        <v>0.25</v>
      </c>
      <c r="J11" s="33">
        <v>3</v>
      </c>
      <c r="K11" s="57"/>
      <c r="L11" s="85">
        <f>+J11/L4</f>
        <v>0.25</v>
      </c>
      <c r="M11" s="33">
        <v>3</v>
      </c>
      <c r="N11" s="57"/>
      <c r="O11" s="85">
        <f>+M11/O4</f>
        <v>0.25</v>
      </c>
      <c r="P11" s="33">
        <v>3</v>
      </c>
      <c r="Q11" s="57"/>
      <c r="R11" s="85">
        <f>+P11/R4</f>
        <v>0.25</v>
      </c>
      <c r="S11" s="33">
        <v>3</v>
      </c>
      <c r="T11" s="57"/>
      <c r="U11" s="85">
        <f>+S11/U4</f>
        <v>0.25</v>
      </c>
      <c r="V11" s="33">
        <v>3</v>
      </c>
      <c r="W11" s="57"/>
      <c r="X11" s="85">
        <f>+V11/X4</f>
        <v>0.25</v>
      </c>
      <c r="Y11" s="33">
        <v>3</v>
      </c>
      <c r="Z11" s="72"/>
      <c r="AA11" s="85">
        <f>+Y11/AA4</f>
        <v>0.25</v>
      </c>
      <c r="AB11" s="33">
        <v>3</v>
      </c>
      <c r="AC11" s="57"/>
      <c r="AD11" s="85">
        <f>+AB11/AD4</f>
        <v>0.25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26</v>
      </c>
      <c r="AQ11" s="57"/>
      <c r="AR11" s="85">
        <f>+AP11/AR4</f>
        <v>2.1666666666666665</v>
      </c>
      <c r="AS11" s="29">
        <f>+AP11/AS4</f>
        <v>2.8888888888888888</v>
      </c>
      <c r="AT11" s="57"/>
      <c r="AU11" s="85">
        <f>+AS11/AU4</f>
        <v>0.24074074074074073</v>
      </c>
    </row>
    <row r="12" spans="2:47">
      <c r="B12" s="18" t="s">
        <v>15</v>
      </c>
      <c r="C12" s="17"/>
      <c r="D12" s="33">
        <v>97.966579999999993</v>
      </c>
      <c r="E12" s="57"/>
      <c r="F12" s="85">
        <f>+D12/F4</f>
        <v>8.1638816666666667</v>
      </c>
      <c r="G12" s="33">
        <v>106.28467999999999</v>
      </c>
      <c r="H12" s="57"/>
      <c r="I12" s="85">
        <f>+G12/I4</f>
        <v>8.8570566666666668</v>
      </c>
      <c r="J12" s="33">
        <v>112.25511</v>
      </c>
      <c r="K12" s="57"/>
      <c r="L12" s="85">
        <f>+J12/L4</f>
        <v>9.3545925000000008</v>
      </c>
      <c r="M12" s="33">
        <v>107.42716</v>
      </c>
      <c r="N12" s="57"/>
      <c r="O12" s="85">
        <f>+M12/O4</f>
        <v>8.9522633333333328</v>
      </c>
      <c r="P12" s="33">
        <v>105.09099999999999</v>
      </c>
      <c r="Q12" s="57"/>
      <c r="R12" s="85">
        <f>+P12/R4</f>
        <v>8.7575833333333328</v>
      </c>
      <c r="S12" s="33">
        <v>114.255</v>
      </c>
      <c r="T12" s="57"/>
      <c r="U12" s="85">
        <f>+S12/U4</f>
        <v>9.5212500000000002</v>
      </c>
      <c r="V12" s="33">
        <v>161.316</v>
      </c>
      <c r="W12" s="57"/>
      <c r="X12" s="85">
        <f>+V12/X4</f>
        <v>13.443</v>
      </c>
      <c r="Y12" s="33">
        <v>110.54904999999999</v>
      </c>
      <c r="Z12" s="72"/>
      <c r="AA12" s="85">
        <f>+Y12/AA4</f>
        <v>9.2124208333333328</v>
      </c>
      <c r="AB12" s="33">
        <v>114.12094</v>
      </c>
      <c r="AC12" s="57"/>
      <c r="AD12" s="85">
        <f>+AB12/AD4</f>
        <v>9.5100783333333343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1029.2655199999999</v>
      </c>
      <c r="AQ12" s="57"/>
      <c r="AR12" s="85">
        <f>+AP12/AR4</f>
        <v>85.772126666666665</v>
      </c>
      <c r="AS12" s="14">
        <f t="shared" ref="AS12" si="1">+AP12/$AS$4</f>
        <v>114.36283555555555</v>
      </c>
      <c r="AT12" s="57"/>
      <c r="AU12" s="85">
        <f>+AS12/AU4</f>
        <v>9.5302362962962963</v>
      </c>
    </row>
    <row r="13" spans="2:47">
      <c r="B13" s="19" t="s">
        <v>20</v>
      </c>
      <c r="C13" s="17"/>
      <c r="D13" s="34">
        <f>+D12/D5</f>
        <v>1.0572950454764982</v>
      </c>
      <c r="E13" s="57"/>
      <c r="F13" s="34"/>
      <c r="G13" s="34">
        <f>+G12/G5</f>
        <v>1.0279121767606136</v>
      </c>
      <c r="H13" s="57"/>
      <c r="I13" s="34"/>
      <c r="J13" s="34">
        <f>+J12/J5</f>
        <v>0.95987199439066939</v>
      </c>
      <c r="K13" s="57"/>
      <c r="L13" s="34"/>
      <c r="M13" s="34">
        <f>+M12/M5</f>
        <v>0.89792234517472047</v>
      </c>
      <c r="N13" s="57"/>
      <c r="O13" s="34"/>
      <c r="P13" s="34">
        <f>+P12/P5</f>
        <v>1.086715088743935</v>
      </c>
      <c r="Q13" s="57"/>
      <c r="R13" s="34"/>
      <c r="S13" s="34">
        <f>+S12/S5</f>
        <v>1.063649540719005</v>
      </c>
      <c r="T13" s="57"/>
      <c r="U13" s="34"/>
      <c r="V13" s="34">
        <f>+V12/V5</f>
        <v>1.1527376697886347</v>
      </c>
      <c r="W13" s="57"/>
      <c r="X13" s="34"/>
      <c r="Y13" s="34">
        <f>+Y12/Y5</f>
        <v>0.92087987058423681</v>
      </c>
      <c r="Z13" s="72"/>
      <c r="AA13" s="34"/>
      <c r="AB13" s="34">
        <f>+AB12/AB5</f>
        <v>0.99283774213922937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1.0173621890888447</v>
      </c>
      <c r="AQ13" s="57"/>
      <c r="AR13" s="34"/>
      <c r="AS13" s="35">
        <f>+AS12/AS5</f>
        <v>1.0173621890888447</v>
      </c>
      <c r="AT13" s="57"/>
      <c r="AU13" s="34"/>
    </row>
    <row r="14" spans="2:47">
      <c r="B14" s="19" t="s">
        <v>16</v>
      </c>
      <c r="C14" s="17"/>
      <c r="D14" s="8">
        <f>+D5/D11</f>
        <v>46.328874999999996</v>
      </c>
      <c r="E14" s="57"/>
      <c r="F14" s="8"/>
      <c r="G14" s="8">
        <f>+G5/G11</f>
        <v>34.466200000000001</v>
      </c>
      <c r="H14" s="57"/>
      <c r="I14" s="8"/>
      <c r="J14" s="8">
        <f>+J5/J11</f>
        <v>38.982666666666667</v>
      </c>
      <c r="K14" s="57"/>
      <c r="L14" s="8"/>
      <c r="M14" s="8">
        <f>+M5/M11</f>
        <v>39.879899999999999</v>
      </c>
      <c r="N14" s="57"/>
      <c r="O14" s="8"/>
      <c r="P14" s="8">
        <f>+P5/P11</f>
        <v>32.235066666666668</v>
      </c>
      <c r="Q14" s="57"/>
      <c r="R14" s="8"/>
      <c r="S14" s="8">
        <f>+S5/S11</f>
        <v>35.805966666666663</v>
      </c>
      <c r="T14" s="57"/>
      <c r="U14" s="8"/>
      <c r="V14" s="8">
        <f>+V5/V11</f>
        <v>46.647213333333333</v>
      </c>
      <c r="W14" s="57"/>
      <c r="X14" s="8"/>
      <c r="Y14" s="8">
        <f>+Y5/Y11</f>
        <v>40.015733333333337</v>
      </c>
      <c r="Z14" s="72"/>
      <c r="AA14" s="8"/>
      <c r="AB14" s="8">
        <f>+AB5/AB11</f>
        <v>38.314733333333329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38.911545769230763</v>
      </c>
      <c r="AQ14" s="57"/>
      <c r="AR14" s="8"/>
      <c r="AS14" s="36">
        <f>+AS5/AS11</f>
        <v>38.911545769230763</v>
      </c>
      <c r="AT14" s="57"/>
      <c r="AU14" s="8"/>
    </row>
    <row r="15" spans="2:47">
      <c r="B15" s="10" t="s">
        <v>36</v>
      </c>
      <c r="C15" s="17"/>
      <c r="D15" s="8">
        <f>+D12/D11</f>
        <v>48.983289999999997</v>
      </c>
      <c r="E15" s="57"/>
      <c r="F15" s="8"/>
      <c r="G15" s="8">
        <f>+G12/G11</f>
        <v>35.428226666666667</v>
      </c>
      <c r="H15" s="57"/>
      <c r="I15" s="8"/>
      <c r="J15" s="8">
        <f>+J12/J11</f>
        <v>37.418370000000003</v>
      </c>
      <c r="K15" s="57"/>
      <c r="L15" s="8"/>
      <c r="M15" s="8">
        <f>+M12/M11</f>
        <v>35.809053333333331</v>
      </c>
      <c r="N15" s="57"/>
      <c r="O15" s="8"/>
      <c r="P15" s="8">
        <f>+P12/P11</f>
        <v>35.030333333333331</v>
      </c>
      <c r="Q15" s="57"/>
      <c r="R15" s="8"/>
      <c r="S15" s="8">
        <f>+S12/S11</f>
        <v>38.085000000000001</v>
      </c>
      <c r="T15" s="57"/>
      <c r="U15" s="8"/>
      <c r="V15" s="8">
        <f>+V12/V11</f>
        <v>53.771999999999998</v>
      </c>
      <c r="W15" s="57"/>
      <c r="X15" s="8"/>
      <c r="Y15" s="8">
        <f>+Y12/Y11</f>
        <v>36.849683333333331</v>
      </c>
      <c r="Z15" s="72"/>
      <c r="AA15" s="8"/>
      <c r="AB15" s="8">
        <f>+AB12/AB11</f>
        <v>38.040313333333337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39.58713538461538</v>
      </c>
      <c r="AQ15" s="57"/>
      <c r="AR15" s="8"/>
      <c r="AS15" s="36">
        <f>+AS12/AS11</f>
        <v>39.58713538461538</v>
      </c>
      <c r="AT15" s="57"/>
      <c r="AU15" s="8"/>
    </row>
    <row r="16" spans="2:47">
      <c r="B16" s="19" t="s">
        <v>21</v>
      </c>
      <c r="C16" s="17"/>
      <c r="D16" s="34">
        <f>+D12/D7</f>
        <v>2.1458962490737195</v>
      </c>
      <c r="E16" s="57"/>
      <c r="F16" s="34"/>
      <c r="G16" s="34">
        <f>+G12/G7</f>
        <v>1.7633399386541335</v>
      </c>
      <c r="H16" s="57"/>
      <c r="I16" s="34"/>
      <c r="J16" s="34">
        <f>+J12/J7</f>
        <v>1.8143195908180376</v>
      </c>
      <c r="K16" s="57"/>
      <c r="L16" s="34"/>
      <c r="M16" s="34">
        <f>+M12/M7</f>
        <v>1.3829295916651798</v>
      </c>
      <c r="N16" s="57"/>
      <c r="O16" s="34"/>
      <c r="P16" s="34">
        <f>+P12/P7</f>
        <v>4.7726030035005094</v>
      </c>
      <c r="Q16" s="57"/>
      <c r="R16" s="34"/>
      <c r="S16" s="34">
        <f>+S12/S7</f>
        <v>1.6250159294371449</v>
      </c>
      <c r="T16" s="57"/>
      <c r="U16" s="34"/>
      <c r="V16" s="34">
        <f>+V12/V7</f>
        <v>1.3207034320146711</v>
      </c>
      <c r="W16" s="57"/>
      <c r="X16" s="34"/>
      <c r="Y16" s="34">
        <f>+Y12/Y7</f>
        <v>1.1890563071132421</v>
      </c>
      <c r="Z16" s="72"/>
      <c r="AA16" s="34"/>
      <c r="AB16" s="34">
        <f>+AB12/AB7</f>
        <v>1.4019402929701847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1.6226072756219028</v>
      </c>
      <c r="AQ16" s="57"/>
      <c r="AR16" s="34"/>
      <c r="AS16" s="35">
        <f>+AS12/AS7</f>
        <v>1.6226072756219028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7596</v>
      </c>
      <c r="E18" s="58">
        <v>7596</v>
      </c>
      <c r="F18" s="67">
        <f>+D18/F4</f>
        <v>633</v>
      </c>
      <c r="G18" s="11">
        <v>6405</v>
      </c>
      <c r="H18" s="58">
        <v>6405</v>
      </c>
      <c r="I18" s="67">
        <f>+G18/I4</f>
        <v>533.75</v>
      </c>
      <c r="J18" s="11">
        <v>6219</v>
      </c>
      <c r="K18" s="58">
        <v>6219</v>
      </c>
      <c r="L18" s="67">
        <f>+J18/L4</f>
        <v>518.25</v>
      </c>
      <c r="M18" s="11">
        <v>7125</v>
      </c>
      <c r="N18" s="58">
        <v>7125</v>
      </c>
      <c r="O18" s="67">
        <f>+M18/O4</f>
        <v>593.75</v>
      </c>
      <c r="P18" s="11">
        <v>5341</v>
      </c>
      <c r="Q18" s="58">
        <v>5341</v>
      </c>
      <c r="R18" s="67">
        <f>+P18/R4</f>
        <v>445.08333333333331</v>
      </c>
      <c r="S18" s="11">
        <v>10132</v>
      </c>
      <c r="T18" s="58">
        <v>10132</v>
      </c>
      <c r="U18" s="67">
        <f>+S18/U4</f>
        <v>844.33333333333337</v>
      </c>
      <c r="V18" s="11">
        <v>5983</v>
      </c>
      <c r="W18" s="58">
        <v>5983</v>
      </c>
      <c r="X18" s="67">
        <f>+V18/X4</f>
        <v>498.58333333333331</v>
      </c>
      <c r="Y18" s="11">
        <v>6236</v>
      </c>
      <c r="Z18" s="58">
        <v>6236</v>
      </c>
      <c r="AA18" s="67">
        <f>+Y18/AA4</f>
        <v>519.66666666666663</v>
      </c>
      <c r="AB18" s="11">
        <v>9329</v>
      </c>
      <c r="AC18" s="58">
        <v>9329</v>
      </c>
      <c r="AD18" s="67">
        <f>+AB18/AD4</f>
        <v>777.41666666666663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64366</v>
      </c>
      <c r="AQ18" s="67">
        <f t="shared" si="2"/>
        <v>64366</v>
      </c>
      <c r="AR18" s="67">
        <f>+AP18/AR4</f>
        <v>5363.833333333333</v>
      </c>
      <c r="AS18" s="14">
        <f t="shared" ref="AS18:AT20" si="3">+AP18/$AS$4</f>
        <v>7151.7777777777774</v>
      </c>
      <c r="AT18" s="67">
        <f t="shared" si="3"/>
        <v>7151.7777777777774</v>
      </c>
      <c r="AU18" s="67">
        <f>+AS18/AU4</f>
        <v>595.98148148148141</v>
      </c>
    </row>
    <row r="19" spans="2:47">
      <c r="B19" s="18" t="s">
        <v>35</v>
      </c>
      <c r="C19" s="17"/>
      <c r="D19" s="11">
        <v>630.98</v>
      </c>
      <c r="E19" s="58">
        <v>630.98</v>
      </c>
      <c r="F19" s="67">
        <f>+D19/F4</f>
        <v>52.581666666666671</v>
      </c>
      <c r="G19" s="11">
        <v>352.93</v>
      </c>
      <c r="H19" s="11">
        <v>352.93</v>
      </c>
      <c r="I19" s="67">
        <f>+G19/I4</f>
        <v>29.410833333333333</v>
      </c>
      <c r="J19" s="11">
        <v>506.26</v>
      </c>
      <c r="K19" s="58">
        <v>506.26</v>
      </c>
      <c r="L19" s="67">
        <f>+J19/L4</f>
        <v>42.188333333333333</v>
      </c>
      <c r="M19" s="11">
        <v>507.79</v>
      </c>
      <c r="N19" s="58">
        <v>507.79</v>
      </c>
      <c r="O19" s="67">
        <f>+M19/O4</f>
        <v>42.315833333333337</v>
      </c>
      <c r="P19" s="11">
        <v>429.58</v>
      </c>
      <c r="Q19" s="11">
        <v>429.58</v>
      </c>
      <c r="R19" s="67">
        <f>+P19/R4</f>
        <v>35.798333333333332</v>
      </c>
      <c r="S19" s="11">
        <v>750.93</v>
      </c>
      <c r="T19" s="58">
        <v>750.93</v>
      </c>
      <c r="U19" s="67">
        <f>+S19/U4</f>
        <v>62.577499999999993</v>
      </c>
      <c r="V19" s="11">
        <v>418.57</v>
      </c>
      <c r="W19" s="11">
        <v>418.57</v>
      </c>
      <c r="X19" s="67">
        <f>+V19/X4</f>
        <v>34.880833333333335</v>
      </c>
      <c r="Y19" s="11">
        <v>452.83</v>
      </c>
      <c r="Z19" s="58">
        <v>452.83</v>
      </c>
      <c r="AA19" s="67">
        <f>+Y19/AA4</f>
        <v>37.735833333333332</v>
      </c>
      <c r="AB19" s="11">
        <v>662.21</v>
      </c>
      <c r="AC19" s="58">
        <v>662.21</v>
      </c>
      <c r="AD19" s="67">
        <f>+AB19/AD4</f>
        <v>55.18416666666667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4712.08</v>
      </c>
      <c r="AQ19" s="67">
        <f t="shared" si="2"/>
        <v>4712.08</v>
      </c>
      <c r="AR19" s="67">
        <f>+AP19/AR4</f>
        <v>392.67333333333335</v>
      </c>
      <c r="AS19" s="14">
        <f t="shared" si="3"/>
        <v>523.56444444444446</v>
      </c>
      <c r="AT19" s="67">
        <f t="shared" si="3"/>
        <v>523.56444444444446</v>
      </c>
      <c r="AU19" s="67">
        <f>+AS19/AU4</f>
        <v>43.630370370370372</v>
      </c>
    </row>
    <row r="20" spans="2:47">
      <c r="B20" s="18" t="s">
        <v>29</v>
      </c>
      <c r="C20" s="17"/>
      <c r="D20" s="11">
        <f>22.74836+2.8926</f>
        <v>25.64096</v>
      </c>
      <c r="E20" s="59">
        <v>19.398710000000001</v>
      </c>
      <c r="F20" s="67">
        <f>+D20/F4</f>
        <v>2.1367466666666668</v>
      </c>
      <c r="G20" s="11">
        <f>17.79883+1.9259</f>
        <v>19.724729999999997</v>
      </c>
      <c r="H20" s="59">
        <v>10.754799999999999</v>
      </c>
      <c r="I20" s="67">
        <f>+G20/I4</f>
        <v>1.6437274999999998</v>
      </c>
      <c r="J20" s="11">
        <f>22.38244+3.9275</f>
        <v>26.309939999999997</v>
      </c>
      <c r="K20" s="59">
        <v>15.557</v>
      </c>
      <c r="L20" s="67">
        <f>+J20/L4</f>
        <v>2.1924949999999996</v>
      </c>
      <c r="M20" s="11">
        <f>22.03158+1.6916</f>
        <v>23.723180000000003</v>
      </c>
      <c r="N20" s="59">
        <v>16.111799999999999</v>
      </c>
      <c r="O20" s="67">
        <f>+M20/O4</f>
        <v>1.976931666666667</v>
      </c>
      <c r="P20" s="11">
        <f>18.10436+2.5342</f>
        <v>20.638559999999998</v>
      </c>
      <c r="Q20" s="59">
        <v>13.844989999999999</v>
      </c>
      <c r="R20" s="67">
        <f>+P20/R4</f>
        <v>1.7198799999999999</v>
      </c>
      <c r="S20" s="11">
        <v>24.482399999999998</v>
      </c>
      <c r="T20" s="59">
        <v>24.389849999999999</v>
      </c>
      <c r="U20" s="67">
        <f>+S20/U4</f>
        <v>2.0402</v>
      </c>
      <c r="V20" s="11">
        <f>16.095+1.5405</f>
        <v>17.6355</v>
      </c>
      <c r="W20" s="59">
        <v>13.53515</v>
      </c>
      <c r="X20" s="67">
        <f>+V20/X4</f>
        <v>1.469625</v>
      </c>
      <c r="Y20" s="11">
        <f>11.4669+2.9181</f>
        <v>14.385000000000002</v>
      </c>
      <c r="Z20" s="59">
        <v>14.38503</v>
      </c>
      <c r="AA20" s="67">
        <f>+Y20/AA4</f>
        <v>1.1987500000000002</v>
      </c>
      <c r="AB20" s="11">
        <f>17.86779+1.9495</f>
        <v>19.81729</v>
      </c>
      <c r="AC20" s="59">
        <v>19.817299999999999</v>
      </c>
      <c r="AD20" s="67">
        <f>+AB20/AD4</f>
        <v>1.6514408333333332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192.35756000000001</v>
      </c>
      <c r="AQ20" s="67">
        <f t="shared" si="2"/>
        <v>147.79462999999998</v>
      </c>
      <c r="AR20" s="67">
        <f>+AP20/AR4</f>
        <v>16.029796666666666</v>
      </c>
      <c r="AS20" s="14">
        <f t="shared" si="3"/>
        <v>21.373062222222224</v>
      </c>
      <c r="AT20" s="67">
        <f t="shared" si="3"/>
        <v>16.421625555555554</v>
      </c>
      <c r="AU20" s="67">
        <f>+AS20/AU4</f>
        <v>1.7810885185185186</v>
      </c>
    </row>
    <row r="21" spans="2:47">
      <c r="B21" s="19" t="s">
        <v>19</v>
      </c>
      <c r="C21" s="17"/>
      <c r="D21" s="44">
        <f t="shared" ref="D21:E21" si="4">+D20/D19*1000</f>
        <v>40.636723826428728</v>
      </c>
      <c r="E21" s="60">
        <f t="shared" si="4"/>
        <v>30.743779517575835</v>
      </c>
      <c r="F21" s="60"/>
      <c r="G21" s="44">
        <f t="shared" ref="G21:H21" si="5">+G20/G19*1000</f>
        <v>55.888504802652072</v>
      </c>
      <c r="H21" s="60">
        <f t="shared" si="5"/>
        <v>30.472898308446432</v>
      </c>
      <c r="I21" s="60"/>
      <c r="J21" s="44">
        <f t="shared" ref="J21:K21" si="6">+J20/J19*1000</f>
        <v>51.969225299253345</v>
      </c>
      <c r="K21" s="60">
        <f t="shared" si="6"/>
        <v>30.729269545292933</v>
      </c>
      <c r="L21" s="60"/>
      <c r="M21" s="44">
        <f t="shared" ref="M21:N21" si="7">+M20/M19*1000</f>
        <v>46.718485988302255</v>
      </c>
      <c r="N21" s="60">
        <f t="shared" si="7"/>
        <v>31.729258157899917</v>
      </c>
      <c r="O21" s="60"/>
      <c r="P21" s="44">
        <f t="shared" ref="P21:Q21" si="8">+P20/P19*1000</f>
        <v>48.043577447739651</v>
      </c>
      <c r="Q21" s="60">
        <f t="shared" si="8"/>
        <v>32.22913077890032</v>
      </c>
      <c r="R21" s="60"/>
      <c r="S21" s="44">
        <f t="shared" ref="S21:T21" si="9">+S20/S19*1000</f>
        <v>32.602772562023091</v>
      </c>
      <c r="T21" s="60">
        <f t="shared" si="9"/>
        <v>32.47952538851824</v>
      </c>
      <c r="U21" s="60"/>
      <c r="V21" s="44">
        <f t="shared" ref="V21" si="10">+V20/V19*1000</f>
        <v>42.132737654394731</v>
      </c>
      <c r="W21" s="60">
        <f t="shared" ref="W21:AC21" si="11">+W20/W19*1000</f>
        <v>32.336646200157681</v>
      </c>
      <c r="X21" s="60"/>
      <c r="Y21" s="44">
        <f t="shared" ref="Y21" si="12">+Y20/Y19*1000</f>
        <v>31.766888236203439</v>
      </c>
      <c r="Z21" s="68">
        <f t="shared" si="11"/>
        <v>31.766954486231036</v>
      </c>
      <c r="AA21" s="68"/>
      <c r="AB21" s="44">
        <f t="shared" si="11"/>
        <v>29.925990244786394</v>
      </c>
      <c r="AC21" s="60">
        <f t="shared" si="11"/>
        <v>29.926005345736243</v>
      </c>
      <c r="AD21" s="68"/>
      <c r="AE21" s="44" t="e">
        <f t="shared" ref="AE21:AF21" si="13">+AE20/AE19*1000</f>
        <v>#DIV/0!</v>
      </c>
      <c r="AF21" s="60" t="e">
        <f t="shared" si="13"/>
        <v>#DIV/0!</v>
      </c>
      <c r="AG21" s="68"/>
      <c r="AH21" s="44" t="e">
        <f t="shared" ref="AH21:AI21" si="14">+AH20/AH19*1000</f>
        <v>#DIV/0!</v>
      </c>
      <c r="AI21" s="60" t="e">
        <f t="shared" si="14"/>
        <v>#DIV/0!</v>
      </c>
      <c r="AJ21" s="68"/>
      <c r="AK21" s="44" t="e">
        <f t="shared" ref="AK21:AL21" si="15">+AK20/AK19*1000</f>
        <v>#DIV/0!</v>
      </c>
      <c r="AL21" s="44" t="e">
        <f t="shared" si="15"/>
        <v>#DIV/0!</v>
      </c>
      <c r="AM21" s="17"/>
      <c r="AN21" s="17"/>
      <c r="AO21" s="17"/>
      <c r="AP21" s="45">
        <f>+AP20/AP19*1000</f>
        <v>40.822218638053684</v>
      </c>
      <c r="AQ21" s="68">
        <f>+AQ20/AQ19*1000</f>
        <v>31.365051102697745</v>
      </c>
      <c r="AR21" s="60"/>
      <c r="AS21" s="45">
        <f>+AS20/AS19*1000</f>
        <v>40.822218638053684</v>
      </c>
      <c r="AT21" s="68">
        <f>+AT20/AT19*1000</f>
        <v>31.365051102697745</v>
      </c>
    </row>
    <row r="22" spans="2:47">
      <c r="B22" s="19" t="s">
        <v>23</v>
      </c>
      <c r="C22" s="17"/>
      <c r="D22" s="46">
        <f>+D19/D18</f>
        <v>8.3067403896787781E-2</v>
      </c>
      <c r="E22" s="46">
        <f>+E19/E18</f>
        <v>8.3067403896787781E-2</v>
      </c>
      <c r="F22" s="61"/>
      <c r="G22" s="46">
        <f>+G19/G18</f>
        <v>5.5102263856362216E-2</v>
      </c>
      <c r="H22" s="46">
        <f>+H19/H18</f>
        <v>5.5102263856362216E-2</v>
      </c>
      <c r="I22" s="61"/>
      <c r="J22" s="46">
        <f>+J19/J18</f>
        <v>8.1405370638366295E-2</v>
      </c>
      <c r="K22" s="46">
        <f>+K19/K18</f>
        <v>8.1405370638366295E-2</v>
      </c>
      <c r="L22" s="61"/>
      <c r="M22" s="46">
        <f>+M19/M18</f>
        <v>7.1268771929824559E-2</v>
      </c>
      <c r="N22" s="46">
        <f>+N19/N18</f>
        <v>7.1268771929824559E-2</v>
      </c>
      <c r="O22" s="61"/>
      <c r="P22" s="46">
        <f>+P19/P18</f>
        <v>8.0430630967983516E-2</v>
      </c>
      <c r="Q22" s="46">
        <f>+Q19/Q18</f>
        <v>8.0430630967983516E-2</v>
      </c>
      <c r="R22" s="61"/>
      <c r="S22" s="46">
        <f>+S19/S18</f>
        <v>7.4114686142913541E-2</v>
      </c>
      <c r="T22" s="46">
        <f>+T19/T18</f>
        <v>7.4114686142913541E-2</v>
      </c>
      <c r="U22" s="61"/>
      <c r="V22" s="46">
        <f>+V19/V18</f>
        <v>6.995988634464316E-2</v>
      </c>
      <c r="W22" s="46">
        <f>+W19/W18</f>
        <v>6.995988634464316E-2</v>
      </c>
      <c r="X22" s="61"/>
      <c r="Y22" s="46">
        <f>+Y19/Y18</f>
        <v>7.26154586273252E-2</v>
      </c>
      <c r="Z22" s="46">
        <f>+Z19/Z18</f>
        <v>7.26154586273252E-2</v>
      </c>
      <c r="AA22" s="69"/>
      <c r="AB22" s="46">
        <f>+AB19/AB18</f>
        <v>7.0984028298853044E-2</v>
      </c>
      <c r="AC22" s="46">
        <f>+AC19/AC18</f>
        <v>7.0984028298853044E-2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7.3207594071404161E-2</v>
      </c>
      <c r="AQ22" s="46">
        <f>+AQ19/AQ18</f>
        <v>7.3207594071404161E-2</v>
      </c>
      <c r="AR22" s="69"/>
      <c r="AS22" s="47">
        <f>+AS19/AS18</f>
        <v>7.3207594071404161E-2</v>
      </c>
      <c r="AT22" s="46">
        <f>+AT19/AT18</f>
        <v>7.3207594071404161E-2</v>
      </c>
    </row>
    <row r="23" spans="2:47">
      <c r="B23" s="10" t="s">
        <v>30</v>
      </c>
      <c r="C23" s="10"/>
      <c r="D23" s="48">
        <f>+D20*1000/(D18*D21)*100</f>
        <v>8.3067403896787777</v>
      </c>
      <c r="E23" s="48">
        <f>+E20*1000/(E18*E21)*100</f>
        <v>8.3067403896787795</v>
      </c>
      <c r="F23" s="62"/>
      <c r="G23" s="48">
        <f>+G20*1000/(G18*G21)*100</f>
        <v>5.5102263856362219</v>
      </c>
      <c r="H23" s="48">
        <f>+H20*1000/(H18*H21)*100</f>
        <v>5.5102263856362219</v>
      </c>
      <c r="I23" s="62"/>
      <c r="J23" s="48">
        <f>+J20*1000/(J18*J21)*100</f>
        <v>8.1405370638366303</v>
      </c>
      <c r="K23" s="48">
        <f>+K20*1000/(K18*K21)*100</f>
        <v>8.1405370638366303</v>
      </c>
      <c r="L23" s="62"/>
      <c r="M23" s="48">
        <f>+M20*1000/(M18*M21)*100</f>
        <v>7.126877192982457</v>
      </c>
      <c r="N23" s="48">
        <f>+N20*1000/(N18*N21)*100</f>
        <v>7.1268771929824561</v>
      </c>
      <c r="O23" s="62"/>
      <c r="P23" s="48">
        <f>+P20*1000/(P18*P21)*100</f>
        <v>8.0430630967983507</v>
      </c>
      <c r="Q23" s="48">
        <f>+Q20*1000/(Q18*Q21)*100</f>
        <v>8.0430630967983525</v>
      </c>
      <c r="R23" s="62"/>
      <c r="S23" s="48">
        <f>+S20*1000/(S18*S21)*100</f>
        <v>7.4114686142913531</v>
      </c>
      <c r="T23" s="48">
        <f>+T20*1000/(T18*T21)*100</f>
        <v>7.4114686142913531</v>
      </c>
      <c r="U23" s="62"/>
      <c r="V23" s="48">
        <f>+V20*1000/(V18*V21)*100</f>
        <v>6.9959886344643145</v>
      </c>
      <c r="W23" s="48">
        <f>+W20*1000/(W18*W21)*100</f>
        <v>6.9959886344643145</v>
      </c>
      <c r="X23" s="62"/>
      <c r="Y23" s="48">
        <f>+Y20*1000/(Y18*Y21)*100</f>
        <v>7.26154586273252</v>
      </c>
      <c r="Z23" s="48">
        <f>+Z20*1000/(Z18*Z21)*100</f>
        <v>7.2615458627325218</v>
      </c>
      <c r="AA23" s="70"/>
      <c r="AB23" s="48">
        <f>+AB20*1000/(AB18*AB21)*100</f>
        <v>7.0984028298853055</v>
      </c>
      <c r="AC23" s="48">
        <f>+AC20*1000/(AC18*AC21)*100</f>
        <v>7.0984028298853046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7.3207594071404145</v>
      </c>
      <c r="AQ23" s="48">
        <f>+AQ20*1000/(AQ18*AQ21)*100</f>
        <v>7.3207594071404145</v>
      </c>
      <c r="AR23" s="70"/>
      <c r="AS23" s="49">
        <f>+AS20/(AS18*AS21)*1000*100</f>
        <v>7.3207594071404172</v>
      </c>
      <c r="AT23" s="48">
        <f>+AT20*1000/(AT18*AT21)*100</f>
        <v>7.3207594071404163</v>
      </c>
    </row>
    <row r="24" spans="2:47">
      <c r="B24" s="19" t="s">
        <v>39</v>
      </c>
      <c r="C24" s="10"/>
      <c r="D24" s="49">
        <f>+D20/D18*1000</f>
        <v>3.3755871511321747</v>
      </c>
      <c r="E24" s="48">
        <f>+E20/E18*1000</f>
        <v>2.5538059505002635</v>
      </c>
      <c r="F24" s="62"/>
      <c r="G24" s="49">
        <f>+G20/G18*1000</f>
        <v>3.0795831381733016</v>
      </c>
      <c r="H24" s="48">
        <f>+H20/H18*1000</f>
        <v>1.6791256830601091</v>
      </c>
      <c r="I24" s="62"/>
      <c r="J24" s="49">
        <f>+J20/J18*1000</f>
        <v>4.2305740472744811</v>
      </c>
      <c r="K24" s="48">
        <f>+K20/K18*1000</f>
        <v>2.5015275767808332</v>
      </c>
      <c r="L24" s="62"/>
      <c r="M24" s="49">
        <f>+M20/M18*1000</f>
        <v>3.3295691228070181</v>
      </c>
      <c r="N24" s="48">
        <f>+N20/N18*1000</f>
        <v>2.2613052631578947</v>
      </c>
      <c r="O24" s="62"/>
      <c r="P24" s="49">
        <f>+P20/P18*1000</f>
        <v>3.8641752480808838</v>
      </c>
      <c r="Q24" s="48">
        <f>+Q20/Q18*1000</f>
        <v>2.5922093240966109</v>
      </c>
      <c r="R24" s="62"/>
      <c r="S24" s="49">
        <f>+S20/S18*1000</f>
        <v>2.4163442558231343</v>
      </c>
      <c r="T24" s="48">
        <f>+T20/T18*1000</f>
        <v>2.4072098302408209</v>
      </c>
      <c r="U24" s="62"/>
      <c r="V24" s="49">
        <f>+V20/V18*1000</f>
        <v>2.9476015376901223</v>
      </c>
      <c r="W24" s="48">
        <f>+W20/W18*1000</f>
        <v>2.2622680929299683</v>
      </c>
      <c r="X24" s="62"/>
      <c r="Y24" s="49">
        <f>+Y20/Y18*1000</f>
        <v>2.3067671584348943</v>
      </c>
      <c r="Z24" s="48">
        <f>+Z20/Z18*1000</f>
        <v>2.3067719692110327</v>
      </c>
      <c r="AA24" s="70"/>
      <c r="AB24" s="49">
        <f>+AB20/AB18*1000</f>
        <v>2.1242673384071176</v>
      </c>
      <c r="AC24" s="48">
        <f>+AC20/AC18*1000</f>
        <v>2.1242684103333693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2.9884964111487431</v>
      </c>
      <c r="AQ24" s="48">
        <f>+AQ20/AQ18*1000</f>
        <v>2.2961599291551438</v>
      </c>
      <c r="AR24" s="70"/>
      <c r="AS24" s="49">
        <f>+AS20/AS18*1000</f>
        <v>2.9884964111487431</v>
      </c>
      <c r="AT24" s="48">
        <f>+AT20/AT18*1000</f>
        <v>2.2961599291551438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380.37523721337863</v>
      </c>
      <c r="E26" s="63"/>
      <c r="F26" s="63"/>
      <c r="G26" s="22">
        <f>+G8/(1-G6/G5)</f>
        <v>379.12198432465129</v>
      </c>
      <c r="H26" s="63"/>
      <c r="I26" s="63"/>
      <c r="J26" s="22">
        <f>+J8/(1-J6/J5)</f>
        <v>376.08254748419876</v>
      </c>
      <c r="K26" s="63"/>
      <c r="L26" s="63"/>
      <c r="M26" s="22">
        <f>+M8/(1-M6/M5)</f>
        <v>286.01928559444372</v>
      </c>
      <c r="N26" s="63"/>
      <c r="O26" s="63"/>
      <c r="P26" s="22">
        <f>+P8/(1-P6/P5)</f>
        <v>915.87733626889417</v>
      </c>
      <c r="Q26" s="63"/>
      <c r="R26" s="63"/>
      <c r="S26" s="22">
        <f>+S8/(1-S6/S5)</f>
        <v>324.16305061806219</v>
      </c>
      <c r="T26" s="63"/>
      <c r="U26" s="63"/>
      <c r="V26" s="22">
        <f>+V8/(1-V6/V5)</f>
        <v>333.19646887302531</v>
      </c>
      <c r="W26" s="63"/>
      <c r="X26" s="63"/>
      <c r="Y26" s="22">
        <f>+Y8/(1-Y6/Y5)</f>
        <v>259.89681027233007</v>
      </c>
      <c r="Z26" s="73"/>
      <c r="AA26" s="73"/>
      <c r="AB26" s="22">
        <f>+AB8/(1-AB6/AB5)</f>
        <v>283.89764989716485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3041.4600584789714</v>
      </c>
      <c r="AQ26" s="71"/>
      <c r="AR26" s="71"/>
      <c r="AS26" s="32">
        <f>+AS8/(1-AS6/AS5)</f>
        <v>337.94000649766355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CoY</vt:lpstr>
      <vt:lpstr>CoM</vt:lpstr>
      <vt:lpstr>2014</vt:lpstr>
      <vt:lpstr>2015</vt:lpstr>
      <vt:lpstr>'2014'!Oblast_tisku</vt:lpstr>
      <vt:lpstr>'2015'!Oblast_tisku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2014-12-09T08:40:33Z</cp:lastPrinted>
  <dcterms:created xsi:type="dcterms:W3CDTF">2014-10-14T11:21:48Z</dcterms:created>
  <dcterms:modified xsi:type="dcterms:W3CDTF">2015-10-23T13:29:27Z</dcterms:modified>
</cp:coreProperties>
</file>