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3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'2014'!$B$1:$AQ$37</definedName>
    <definedName name="_xlnm.Print_Area" localSheetId="3">'2015'!$B$1:$AQ$37</definedName>
    <definedName name="_xlnm.Print_Area" localSheetId="1">CoM!$A$1:$M$37</definedName>
    <definedName name="_xlnm.Print_Area" localSheetId="0">CoY!$B$1:$M$37</definedName>
  </definedNames>
  <calcPr calcId="125725"/>
</workbook>
</file>

<file path=xl/calcChain.xml><?xml version="1.0" encoding="utf-8"?>
<calcChain xmlns="http://schemas.openxmlformats.org/spreadsheetml/2006/main">
  <c r="S20" i="7"/>
  <c r="S20" i="1"/>
  <c r="S6"/>
  <c r="S5"/>
  <c r="S6" i="7"/>
  <c r="S5"/>
  <c r="G31" i="6" l="1"/>
  <c r="G30"/>
  <c r="G28"/>
  <c r="G27"/>
  <c r="I26"/>
  <c r="F26"/>
  <c r="H20"/>
  <c r="H19"/>
  <c r="H18"/>
  <c r="G20"/>
  <c r="G19"/>
  <c r="G18"/>
  <c r="G12"/>
  <c r="G11"/>
  <c r="G8"/>
  <c r="G6"/>
  <c r="G5"/>
  <c r="I4"/>
  <c r="F4"/>
  <c r="D31"/>
  <c r="D30"/>
  <c r="D28"/>
  <c r="D27"/>
  <c r="E20"/>
  <c r="E19"/>
  <c r="E18"/>
  <c r="D20"/>
  <c r="D19"/>
  <c r="D18"/>
  <c r="D12"/>
  <c r="D11"/>
  <c r="D8"/>
  <c r="D6"/>
  <c r="D5"/>
  <c r="P20" i="7"/>
  <c r="P20" i="1"/>
  <c r="P7"/>
  <c r="P6"/>
  <c r="P5"/>
  <c r="P6" i="7" l="1"/>
  <c r="P5"/>
  <c r="M20" i="1"/>
  <c r="M6"/>
  <c r="M5"/>
  <c r="M20" i="7"/>
  <c r="M6"/>
  <c r="M5"/>
  <c r="J20" i="1" l="1"/>
  <c r="J6"/>
  <c r="J5"/>
  <c r="J20" i="7" l="1"/>
  <c r="J6"/>
  <c r="J5"/>
  <c r="AP11"/>
  <c r="AS11" s="1"/>
  <c r="AR4"/>
  <c r="AP11" i="1"/>
  <c r="AS11" s="1"/>
  <c r="E20" i="7"/>
  <c r="E19"/>
  <c r="D19"/>
  <c r="G20" i="1"/>
  <c r="D20"/>
  <c r="G20" i="7"/>
  <c r="G6"/>
  <c r="G5"/>
  <c r="G6" i="1"/>
  <c r="G5"/>
  <c r="D27" i="7"/>
  <c r="D20"/>
  <c r="D6"/>
  <c r="D5"/>
  <c r="D22" i="1"/>
  <c r="G9" i="6" l="1"/>
  <c r="AR26" i="1"/>
  <c r="AR26" i="7"/>
  <c r="AK37"/>
  <c r="AH37"/>
  <c r="AE37"/>
  <c r="AB37"/>
  <c r="Y37"/>
  <c r="V37"/>
  <c r="S37"/>
  <c r="P37"/>
  <c r="M37"/>
  <c r="J37"/>
  <c r="G37"/>
  <c r="D37"/>
  <c r="AK35"/>
  <c r="AH35"/>
  <c r="AE35"/>
  <c r="AB35"/>
  <c r="Y35"/>
  <c r="V35"/>
  <c r="S35"/>
  <c r="P35"/>
  <c r="M35"/>
  <c r="J35"/>
  <c r="G35"/>
  <c r="D35"/>
  <c r="AK33"/>
  <c r="AH33"/>
  <c r="AE33"/>
  <c r="AB33"/>
  <c r="Y33"/>
  <c r="V33"/>
  <c r="S33"/>
  <c r="P33"/>
  <c r="M33"/>
  <c r="J33"/>
  <c r="G33"/>
  <c r="D33"/>
  <c r="AK32"/>
  <c r="AK34" s="1"/>
  <c r="AH32"/>
  <c r="AH34" s="1"/>
  <c r="AE32"/>
  <c r="AE34" s="1"/>
  <c r="AB32"/>
  <c r="AB34" s="1"/>
  <c r="Y32"/>
  <c r="Y34" s="1"/>
  <c r="V32"/>
  <c r="V34" s="1"/>
  <c r="S32"/>
  <c r="S34" s="1"/>
  <c r="P32"/>
  <c r="P34" s="1"/>
  <c r="M32"/>
  <c r="M34" s="1"/>
  <c r="J32"/>
  <c r="J34" s="1"/>
  <c r="G32"/>
  <c r="G34" s="1"/>
  <c r="D32"/>
  <c r="D34" s="1"/>
  <c r="AP31"/>
  <c r="D31" i="5" s="1"/>
  <c r="AM31" i="7"/>
  <c r="AJ31"/>
  <c r="AG31"/>
  <c r="AD31"/>
  <c r="AA31"/>
  <c r="X31"/>
  <c r="U31"/>
  <c r="R31"/>
  <c r="O31"/>
  <c r="L31"/>
  <c r="I31"/>
  <c r="F31"/>
  <c r="AP30"/>
  <c r="D30" i="5" s="1"/>
  <c r="AM30" i="7"/>
  <c r="AJ30"/>
  <c r="AG30"/>
  <c r="AD30"/>
  <c r="AA30"/>
  <c r="X30"/>
  <c r="U30"/>
  <c r="R30"/>
  <c r="O30"/>
  <c r="L30"/>
  <c r="I30"/>
  <c r="F30"/>
  <c r="AK29"/>
  <c r="AH29"/>
  <c r="AE29"/>
  <c r="AB29"/>
  <c r="Y29"/>
  <c r="V29"/>
  <c r="S29"/>
  <c r="P29"/>
  <c r="M29"/>
  <c r="J29"/>
  <c r="G29"/>
  <c r="D29"/>
  <c r="AP28"/>
  <c r="AS28" s="1"/>
  <c r="AM28"/>
  <c r="AJ28"/>
  <c r="AG28"/>
  <c r="AD28"/>
  <c r="AA28"/>
  <c r="X28"/>
  <c r="U28"/>
  <c r="R28"/>
  <c r="O28"/>
  <c r="L28"/>
  <c r="I28"/>
  <c r="F28"/>
  <c r="AP27"/>
  <c r="D27" i="5" s="1"/>
  <c r="AM27" i="7"/>
  <c r="AM29" s="1"/>
  <c r="AJ27"/>
  <c r="AJ29" s="1"/>
  <c r="AG27"/>
  <c r="AG29" s="1"/>
  <c r="AD27"/>
  <c r="AD29" s="1"/>
  <c r="AA27"/>
  <c r="AA29" s="1"/>
  <c r="X27"/>
  <c r="X29" s="1"/>
  <c r="U27"/>
  <c r="U29" s="1"/>
  <c r="R27"/>
  <c r="O27"/>
  <c r="O29" s="1"/>
  <c r="L27"/>
  <c r="I27"/>
  <c r="I29" s="1"/>
  <c r="F27"/>
  <c r="AU26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E20" i="5" s="1"/>
  <c r="AP20" i="7"/>
  <c r="AM20"/>
  <c r="AJ20"/>
  <c r="AG20"/>
  <c r="AD20"/>
  <c r="AA20"/>
  <c r="X20"/>
  <c r="U20"/>
  <c r="R20"/>
  <c r="O20"/>
  <c r="L20"/>
  <c r="I20"/>
  <c r="F20"/>
  <c r="AQ19"/>
  <c r="AT19" s="1"/>
  <c r="AP19"/>
  <c r="D19" i="5" s="1"/>
  <c r="AM19" i="7"/>
  <c r="AJ19"/>
  <c r="AG19"/>
  <c r="AD19"/>
  <c r="AA19"/>
  <c r="X19"/>
  <c r="U19"/>
  <c r="R19"/>
  <c r="O19"/>
  <c r="L19"/>
  <c r="I19"/>
  <c r="F19"/>
  <c r="AQ18"/>
  <c r="AT18" s="1"/>
  <c r="AP18"/>
  <c r="D18" i="5" s="1"/>
  <c r="AM18" i="7"/>
  <c r="AJ18"/>
  <c r="AG18"/>
  <c r="AD18"/>
  <c r="AA18"/>
  <c r="X18"/>
  <c r="U18"/>
  <c r="R18"/>
  <c r="O18"/>
  <c r="L18"/>
  <c r="I18"/>
  <c r="F18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D12" i="5" s="1"/>
  <c r="AM12" i="7"/>
  <c r="AJ12"/>
  <c r="AG12"/>
  <c r="AD12"/>
  <c r="AA12"/>
  <c r="X12"/>
  <c r="U12"/>
  <c r="R12"/>
  <c r="O12"/>
  <c r="L12"/>
  <c r="I12"/>
  <c r="F12"/>
  <c r="AM11"/>
  <c r="AJ11"/>
  <c r="AG11"/>
  <c r="AD11"/>
  <c r="AA11"/>
  <c r="X11"/>
  <c r="U11"/>
  <c r="R11"/>
  <c r="O11"/>
  <c r="L11"/>
  <c r="I11"/>
  <c r="F11"/>
  <c r="AK9"/>
  <c r="AL9" s="1"/>
  <c r="AH9"/>
  <c r="AI9" s="1"/>
  <c r="AE9"/>
  <c r="AF9" s="1"/>
  <c r="AB9"/>
  <c r="AC9" s="1"/>
  <c r="Y9"/>
  <c r="Z9" s="1"/>
  <c r="V9"/>
  <c r="W9" s="1"/>
  <c r="S9"/>
  <c r="T9" s="1"/>
  <c r="P9"/>
  <c r="Q9" s="1"/>
  <c r="M9"/>
  <c r="N9" s="1"/>
  <c r="J9"/>
  <c r="K9" s="1"/>
  <c r="G9"/>
  <c r="H9" s="1"/>
  <c r="D9"/>
  <c r="E9" s="1"/>
  <c r="AP8"/>
  <c r="D8" i="5" s="1"/>
  <c r="AM8" i="7"/>
  <c r="AL8"/>
  <c r="AJ8"/>
  <c r="AI8"/>
  <c r="AG8"/>
  <c r="AF8"/>
  <c r="AD8"/>
  <c r="AC8"/>
  <c r="AA8"/>
  <c r="Z8"/>
  <c r="X8"/>
  <c r="W8"/>
  <c r="U8"/>
  <c r="T8"/>
  <c r="R8"/>
  <c r="Q8"/>
  <c r="O8"/>
  <c r="N8"/>
  <c r="L8"/>
  <c r="K8"/>
  <c r="I8"/>
  <c r="H8"/>
  <c r="F8"/>
  <c r="E8"/>
  <c r="AK7"/>
  <c r="AK16" s="1"/>
  <c r="AI7"/>
  <c r="AH7"/>
  <c r="AH16" s="1"/>
  <c r="AE7"/>
  <c r="AE16" s="1"/>
  <c r="AB7"/>
  <c r="AB16" s="1"/>
  <c r="Y7"/>
  <c r="Y16" s="1"/>
  <c r="V7"/>
  <c r="V16" s="1"/>
  <c r="S7"/>
  <c r="P7"/>
  <c r="M7"/>
  <c r="J7"/>
  <c r="G7"/>
  <c r="G16" s="1"/>
  <c r="D7"/>
  <c r="D16" s="1"/>
  <c r="AP6"/>
  <c r="D6" i="5" s="1"/>
  <c r="AM6" i="7"/>
  <c r="AL6"/>
  <c r="AJ6"/>
  <c r="AI6"/>
  <c r="AG6"/>
  <c r="AF6"/>
  <c r="AD6"/>
  <c r="AC6"/>
  <c r="AA6"/>
  <c r="Z6"/>
  <c r="X6"/>
  <c r="W6"/>
  <c r="U6"/>
  <c r="T6"/>
  <c r="R6"/>
  <c r="Q6"/>
  <c r="O6"/>
  <c r="N6"/>
  <c r="L6"/>
  <c r="K6"/>
  <c r="I6"/>
  <c r="H6"/>
  <c r="F6"/>
  <c r="E6"/>
  <c r="AP5"/>
  <c r="AP14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U9" s="1"/>
  <c r="T5"/>
  <c r="R5"/>
  <c r="R9" s="1"/>
  <c r="Q5"/>
  <c r="O5"/>
  <c r="O9" s="1"/>
  <c r="N5"/>
  <c r="L5"/>
  <c r="L9" s="1"/>
  <c r="K5"/>
  <c r="I5"/>
  <c r="I9" s="1"/>
  <c r="H5"/>
  <c r="F5"/>
  <c r="E5"/>
  <c r="AU4"/>
  <c r="AP31" i="1"/>
  <c r="AP30"/>
  <c r="AP28"/>
  <c r="AP27"/>
  <c r="I27"/>
  <c r="F27"/>
  <c r="F28"/>
  <c r="AQ20"/>
  <c r="AQ19"/>
  <c r="AQ18"/>
  <c r="AP20"/>
  <c r="AP19"/>
  <c r="AP18"/>
  <c r="AR4"/>
  <c r="AP12"/>
  <c r="AP8"/>
  <c r="AP6"/>
  <c r="AP5"/>
  <c r="D35"/>
  <c r="D33"/>
  <c r="D32"/>
  <c r="D34" s="1"/>
  <c r="F31"/>
  <c r="F30"/>
  <c r="E24"/>
  <c r="D24"/>
  <c r="E22"/>
  <c r="F18"/>
  <c r="D15"/>
  <c r="F12"/>
  <c r="F11"/>
  <c r="F8"/>
  <c r="F6"/>
  <c r="D14"/>
  <c r="G35"/>
  <c r="G33"/>
  <c r="G32"/>
  <c r="G34" s="1"/>
  <c r="I31"/>
  <c r="I30"/>
  <c r="I28"/>
  <c r="H24"/>
  <c r="G24"/>
  <c r="H22"/>
  <c r="G22"/>
  <c r="I18"/>
  <c r="G15"/>
  <c r="I12"/>
  <c r="I11"/>
  <c r="I8"/>
  <c r="I6"/>
  <c r="G14"/>
  <c r="J35"/>
  <c r="J33"/>
  <c r="J32"/>
  <c r="J34" s="1"/>
  <c r="L31"/>
  <c r="L30"/>
  <c r="L28"/>
  <c r="L27"/>
  <c r="K24"/>
  <c r="J24"/>
  <c r="K22"/>
  <c r="J22"/>
  <c r="L18"/>
  <c r="J15"/>
  <c r="L12"/>
  <c r="L11"/>
  <c r="L8"/>
  <c r="L6"/>
  <c r="J14"/>
  <c r="M35"/>
  <c r="M33"/>
  <c r="M32"/>
  <c r="M34" s="1"/>
  <c r="O31"/>
  <c r="O30"/>
  <c r="O28"/>
  <c r="O27"/>
  <c r="N24"/>
  <c r="M24"/>
  <c r="N22"/>
  <c r="M22"/>
  <c r="O18"/>
  <c r="M15"/>
  <c r="O12"/>
  <c r="O11"/>
  <c r="O8"/>
  <c r="O6"/>
  <c r="M14"/>
  <c r="P35"/>
  <c r="P33"/>
  <c r="P32"/>
  <c r="P34" s="1"/>
  <c r="R31"/>
  <c r="R30"/>
  <c r="R28"/>
  <c r="R27"/>
  <c r="Q24"/>
  <c r="P24"/>
  <c r="Q22"/>
  <c r="P22"/>
  <c r="R18"/>
  <c r="P15"/>
  <c r="R12"/>
  <c r="R11"/>
  <c r="R8"/>
  <c r="R6"/>
  <c r="P14"/>
  <c r="S35"/>
  <c r="S33"/>
  <c r="S32"/>
  <c r="S34" s="1"/>
  <c r="U31"/>
  <c r="U30"/>
  <c r="U28"/>
  <c r="S29"/>
  <c r="U27"/>
  <c r="U29" s="1"/>
  <c r="S24"/>
  <c r="T24"/>
  <c r="U20"/>
  <c r="T22"/>
  <c r="S22"/>
  <c r="U18"/>
  <c r="S15"/>
  <c r="S14"/>
  <c r="U12"/>
  <c r="U11"/>
  <c r="U8"/>
  <c r="T8"/>
  <c r="S37"/>
  <c r="T5"/>
  <c r="S13"/>
  <c r="X20"/>
  <c r="X19"/>
  <c r="X18"/>
  <c r="V35"/>
  <c r="V33"/>
  <c r="V32"/>
  <c r="V34" s="1"/>
  <c r="V29"/>
  <c r="V22"/>
  <c r="V15"/>
  <c r="V14"/>
  <c r="V37"/>
  <c r="V13"/>
  <c r="W8"/>
  <c r="W5"/>
  <c r="AA20"/>
  <c r="AA19"/>
  <c r="AA18"/>
  <c r="Z8"/>
  <c r="Z6"/>
  <c r="Z5"/>
  <c r="Y35"/>
  <c r="Y33"/>
  <c r="Y32"/>
  <c r="Y34" s="1"/>
  <c r="Y29"/>
  <c r="Y24"/>
  <c r="Y22"/>
  <c r="Y15"/>
  <c r="Y37"/>
  <c r="Y14"/>
  <c r="S16" i="7" l="1"/>
  <c r="D7" i="6"/>
  <c r="R29" i="7"/>
  <c r="P16"/>
  <c r="M16"/>
  <c r="L29"/>
  <c r="J16"/>
  <c r="K7"/>
  <c r="E19" i="5"/>
  <c r="E18"/>
  <c r="AP22" i="7"/>
  <c r="AP24"/>
  <c r="AP35"/>
  <c r="AP33"/>
  <c r="D20" i="5"/>
  <c r="F9" i="7"/>
  <c r="AP37"/>
  <c r="D5" i="5"/>
  <c r="F29" i="7"/>
  <c r="AP29"/>
  <c r="D28" i="5"/>
  <c r="D11"/>
  <c r="AR6" i="7"/>
  <c r="AR18"/>
  <c r="F4" i="5"/>
  <c r="F26"/>
  <c r="AT22" i="7"/>
  <c r="AU28"/>
  <c r="AU11"/>
  <c r="AR5"/>
  <c r="AQ6"/>
  <c r="AS6"/>
  <c r="AU6" s="1"/>
  <c r="F7"/>
  <c r="H7"/>
  <c r="L7"/>
  <c r="N7"/>
  <c r="R7"/>
  <c r="T7"/>
  <c r="X7"/>
  <c r="Z7"/>
  <c r="AD7"/>
  <c r="AF7"/>
  <c r="AJ7"/>
  <c r="AL7"/>
  <c r="AP7"/>
  <c r="AQ8"/>
  <c r="AS8"/>
  <c r="AP9"/>
  <c r="AR11"/>
  <c r="AR12"/>
  <c r="AS18"/>
  <c r="AU18" s="1"/>
  <c r="AS19"/>
  <c r="AS20"/>
  <c r="AP21"/>
  <c r="AQ22"/>
  <c r="AP23"/>
  <c r="AQ24"/>
  <c r="AR27"/>
  <c r="AR28"/>
  <c r="AR30"/>
  <c r="AR31"/>
  <c r="AQ5"/>
  <c r="AS5"/>
  <c r="E7"/>
  <c r="I7"/>
  <c r="O7"/>
  <c r="Q7"/>
  <c r="U7"/>
  <c r="W7"/>
  <c r="AA7"/>
  <c r="AC7"/>
  <c r="AG7"/>
  <c r="AM7"/>
  <c r="AR8"/>
  <c r="AS12"/>
  <c r="AP13"/>
  <c r="AP15"/>
  <c r="AR19"/>
  <c r="AR20"/>
  <c r="AT20"/>
  <c r="AQ21"/>
  <c r="AQ23" s="1"/>
  <c r="AS27"/>
  <c r="AS30"/>
  <c r="AS31"/>
  <c r="AP32"/>
  <c r="AP34" s="1"/>
  <c r="I29" i="1"/>
  <c r="R29"/>
  <c r="O29"/>
  <c r="L29"/>
  <c r="F29"/>
  <c r="F5"/>
  <c r="E6"/>
  <c r="D7"/>
  <c r="D13"/>
  <c r="F20"/>
  <c r="E21"/>
  <c r="E23" s="1"/>
  <c r="D29"/>
  <c r="D37"/>
  <c r="E5"/>
  <c r="E8"/>
  <c r="D9"/>
  <c r="F19"/>
  <c r="D21"/>
  <c r="D23" s="1"/>
  <c r="I5"/>
  <c r="H6"/>
  <c r="G7"/>
  <c r="G13"/>
  <c r="I20"/>
  <c r="H21"/>
  <c r="H23" s="1"/>
  <c r="G29"/>
  <c r="G37"/>
  <c r="H5"/>
  <c r="H8"/>
  <c r="G9"/>
  <c r="H9" s="1"/>
  <c r="I19"/>
  <c r="G21"/>
  <c r="G23" s="1"/>
  <c r="L5"/>
  <c r="K6"/>
  <c r="J7"/>
  <c r="J13"/>
  <c r="L20"/>
  <c r="K21"/>
  <c r="K23" s="1"/>
  <c r="J29"/>
  <c r="J37"/>
  <c r="K5"/>
  <c r="K8"/>
  <c r="J9"/>
  <c r="K9" s="1"/>
  <c r="L19"/>
  <c r="J21"/>
  <c r="J23" s="1"/>
  <c r="O5"/>
  <c r="N6"/>
  <c r="M7"/>
  <c r="M13"/>
  <c r="O20"/>
  <c r="N21"/>
  <c r="N23" s="1"/>
  <c r="M29"/>
  <c r="M37"/>
  <c r="N5"/>
  <c r="N8"/>
  <c r="M9"/>
  <c r="N9" s="1"/>
  <c r="O19"/>
  <c r="M21"/>
  <c r="M23" s="1"/>
  <c r="R5"/>
  <c r="Q6"/>
  <c r="P13"/>
  <c r="R20"/>
  <c r="Q21"/>
  <c r="Q23" s="1"/>
  <c r="P29"/>
  <c r="P37"/>
  <c r="Q5"/>
  <c r="Q8"/>
  <c r="P9"/>
  <c r="Q9" s="1"/>
  <c r="R19"/>
  <c r="P21"/>
  <c r="P23" s="1"/>
  <c r="U6"/>
  <c r="S9"/>
  <c r="T9" s="1"/>
  <c r="U19"/>
  <c r="S21"/>
  <c r="S23" s="1"/>
  <c r="U5"/>
  <c r="T6"/>
  <c r="S7"/>
  <c r="G7" i="6" s="1"/>
  <c r="T21" i="1"/>
  <c r="T23" s="1"/>
  <c r="V9"/>
  <c r="W9" s="1"/>
  <c r="V24"/>
  <c r="W6"/>
  <c r="V7"/>
  <c r="V21"/>
  <c r="V23" s="1"/>
  <c r="Y7"/>
  <c r="Y13"/>
  <c r="Y21"/>
  <c r="Y23" s="1"/>
  <c r="Y9"/>
  <c r="Z9" s="1"/>
  <c r="AS33" i="7" l="1"/>
  <c r="AU30"/>
  <c r="AS15"/>
  <c r="AS13"/>
  <c r="AU12"/>
  <c r="AS14"/>
  <c r="AU5"/>
  <c r="AS24"/>
  <c r="AS21"/>
  <c r="AS23" s="1"/>
  <c r="AU20"/>
  <c r="AU8"/>
  <c r="AS37"/>
  <c r="AS7"/>
  <c r="AS16" s="1"/>
  <c r="AQ7"/>
  <c r="AP16"/>
  <c r="AS35"/>
  <c r="AS32"/>
  <c r="AS34" s="1"/>
  <c r="AU31"/>
  <c r="AS29"/>
  <c r="AU27"/>
  <c r="AU29" s="1"/>
  <c r="AT21"/>
  <c r="AT23" s="1"/>
  <c r="AT24"/>
  <c r="AS22"/>
  <c r="AU19"/>
  <c r="AS9"/>
  <c r="AQ9"/>
  <c r="AR9"/>
  <c r="AR7"/>
  <c r="AR29"/>
  <c r="E9" i="1"/>
  <c r="Y16"/>
  <c r="Z7"/>
  <c r="D16"/>
  <c r="E7"/>
  <c r="F9"/>
  <c r="F7"/>
  <c r="G16"/>
  <c r="H7"/>
  <c r="I9"/>
  <c r="I7"/>
  <c r="J16"/>
  <c r="K7"/>
  <c r="L9"/>
  <c r="L7"/>
  <c r="M16"/>
  <c r="N7"/>
  <c r="O9"/>
  <c r="O7"/>
  <c r="P16"/>
  <c r="Q7"/>
  <c r="R9"/>
  <c r="R7"/>
  <c r="S16"/>
  <c r="T7"/>
  <c r="U7"/>
  <c r="U9"/>
  <c r="V16"/>
  <c r="W7"/>
  <c r="AM30"/>
  <c r="AK33"/>
  <c r="AM28"/>
  <c r="AK29"/>
  <c r="AU9" i="7" l="1"/>
  <c r="AU7"/>
  <c r="AM20" i="1"/>
  <c r="AM19"/>
  <c r="AM18"/>
  <c r="AM12"/>
  <c r="AM11"/>
  <c r="AK24"/>
  <c r="AK22"/>
  <c r="AK21"/>
  <c r="AM27"/>
  <c r="AM29" s="1"/>
  <c r="AK15"/>
  <c r="AK14"/>
  <c r="AK13"/>
  <c r="AM6"/>
  <c r="AM5"/>
  <c r="AL6"/>
  <c r="AL5"/>
  <c r="AL8"/>
  <c r="AK7"/>
  <c r="AK9" l="1"/>
  <c r="AK37"/>
  <c r="AM8"/>
  <c r="AM9" s="1"/>
  <c r="AK16"/>
  <c r="AL7"/>
  <c r="AL9"/>
  <c r="AK23"/>
  <c r="AM7"/>
  <c r="AJ20"/>
  <c r="AI6"/>
  <c r="AI5"/>
  <c r="AI8"/>
  <c r="AH35"/>
  <c r="AH33"/>
  <c r="AH32"/>
  <c r="AH34" s="1"/>
  <c r="AJ31"/>
  <c r="AJ30"/>
  <c r="AJ28"/>
  <c r="AJ27"/>
  <c r="AI24"/>
  <c r="AI22"/>
  <c r="AH22"/>
  <c r="AI21"/>
  <c r="AI23" s="1"/>
  <c r="AH24"/>
  <c r="AJ19"/>
  <c r="AJ18"/>
  <c r="AH15"/>
  <c r="AJ12"/>
  <c r="AJ11"/>
  <c r="AJ8"/>
  <c r="AH13"/>
  <c r="AJ29" l="1"/>
  <c r="AM31"/>
  <c r="AK35"/>
  <c r="AK32"/>
  <c r="AK34" s="1"/>
  <c r="AJ6"/>
  <c r="AH9"/>
  <c r="AI9" s="1"/>
  <c r="AH14"/>
  <c r="AH29"/>
  <c r="AH37"/>
  <c r="AJ5"/>
  <c r="AH7"/>
  <c r="AI7" s="1"/>
  <c r="AH21"/>
  <c r="AH23" s="1"/>
  <c r="AH16" l="1"/>
  <c r="AJ7"/>
  <c r="AJ9"/>
  <c r="AG28"/>
  <c r="AF6"/>
  <c r="AF8"/>
  <c r="AE35"/>
  <c r="AE33"/>
  <c r="AE32"/>
  <c r="AE34" s="1"/>
  <c r="AG31"/>
  <c r="AG30"/>
  <c r="AG27"/>
  <c r="AF24"/>
  <c r="AE24"/>
  <c r="AF22"/>
  <c r="AE22"/>
  <c r="AG18"/>
  <c r="AE15"/>
  <c r="AG12"/>
  <c r="AG11"/>
  <c r="AG8"/>
  <c r="AG6"/>
  <c r="AE14"/>
  <c r="F28" i="6"/>
  <c r="AG29" i="1" l="1"/>
  <c r="AF5"/>
  <c r="AE7"/>
  <c r="AF7" s="1"/>
  <c r="AE13"/>
  <c r="AG20"/>
  <c r="AF21"/>
  <c r="AF23" s="1"/>
  <c r="AE29"/>
  <c r="AE37"/>
  <c r="AG5"/>
  <c r="AE9"/>
  <c r="AF9" s="1"/>
  <c r="AG19"/>
  <c r="AE21"/>
  <c r="AE23" s="1"/>
  <c r="F27" i="6"/>
  <c r="F29" s="1"/>
  <c r="AG9" i="1" l="1"/>
  <c r="AG7"/>
  <c r="AE16"/>
  <c r="F11" i="5" l="1"/>
  <c r="AD28" i="1" l="1"/>
  <c r="I26" i="5"/>
  <c r="I4"/>
  <c r="AB35" i="1"/>
  <c r="AD20"/>
  <c r="AD19"/>
  <c r="AD18"/>
  <c r="AD12"/>
  <c r="AD11"/>
  <c r="AD8"/>
  <c r="AD6"/>
  <c r="AD5"/>
  <c r="AD31"/>
  <c r="AD30"/>
  <c r="AD27"/>
  <c r="AA31"/>
  <c r="AA30"/>
  <c r="AA27"/>
  <c r="X31"/>
  <c r="X30"/>
  <c r="X28"/>
  <c r="X27"/>
  <c r="AB24"/>
  <c r="AC24"/>
  <c r="AC22"/>
  <c r="Z24"/>
  <c r="Z22"/>
  <c r="W24"/>
  <c r="W22"/>
  <c r="AA12"/>
  <c r="AA11"/>
  <c r="AA8"/>
  <c r="AA6"/>
  <c r="AA5"/>
  <c r="X12"/>
  <c r="X11"/>
  <c r="X8"/>
  <c r="X6"/>
  <c r="X5"/>
  <c r="F19" i="6"/>
  <c r="I30"/>
  <c r="I28"/>
  <c r="L28" s="1"/>
  <c r="I27"/>
  <c r="I18"/>
  <c r="I12"/>
  <c r="I11"/>
  <c r="I8"/>
  <c r="F30"/>
  <c r="F18"/>
  <c r="F12"/>
  <c r="F11"/>
  <c r="F8"/>
  <c r="F6"/>
  <c r="H22"/>
  <c r="I19"/>
  <c r="L19" l="1"/>
  <c r="X29" i="1"/>
  <c r="AD9"/>
  <c r="AA9"/>
  <c r="X9"/>
  <c r="AU4"/>
  <c r="AU11" s="1"/>
  <c r="AU26"/>
  <c r="G24" i="6"/>
  <c r="I20"/>
  <c r="G35"/>
  <c r="I31"/>
  <c r="L8"/>
  <c r="L12"/>
  <c r="H24"/>
  <c r="D24"/>
  <c r="F20"/>
  <c r="F31"/>
  <c r="D35"/>
  <c r="I29"/>
  <c r="L29" s="1"/>
  <c r="L27"/>
  <c r="L11"/>
  <c r="L18"/>
  <c r="L30"/>
  <c r="AD29" i="1"/>
  <c r="AR11"/>
  <c r="AD7"/>
  <c r="AA7"/>
  <c r="X7"/>
  <c r="F5" i="6"/>
  <c r="AC8" i="1"/>
  <c r="AB33"/>
  <c r="AB32"/>
  <c r="AB34" s="1"/>
  <c r="AB29"/>
  <c r="AC21"/>
  <c r="AC23" s="1"/>
  <c r="AB22"/>
  <c r="AB15"/>
  <c r="AB37"/>
  <c r="AB13"/>
  <c r="D29" i="6"/>
  <c r="D33"/>
  <c r="F28" i="5" l="1"/>
  <c r="F31"/>
  <c r="F9" i="6"/>
  <c r="F7"/>
  <c r="J35"/>
  <c r="K35"/>
  <c r="K24"/>
  <c r="J24"/>
  <c r="L31"/>
  <c r="L20"/>
  <c r="AC5" i="1"/>
  <c r="I5" i="6"/>
  <c r="AC6" i="1"/>
  <c r="I6" i="6"/>
  <c r="L6" s="1"/>
  <c r="F27" i="5"/>
  <c r="F29" s="1"/>
  <c r="AB7" i="1"/>
  <c r="AP7" s="1"/>
  <c r="AB14"/>
  <c r="AB21"/>
  <c r="AB23" s="1"/>
  <c r="AB9"/>
  <c r="J28" i="6"/>
  <c r="J31"/>
  <c r="J30"/>
  <c r="J27"/>
  <c r="K27"/>
  <c r="K28"/>
  <c r="G29"/>
  <c r="K30"/>
  <c r="K31"/>
  <c r="G32"/>
  <c r="G34" s="1"/>
  <c r="G33"/>
  <c r="D32"/>
  <c r="D34" s="1"/>
  <c r="AA28" i="1"/>
  <c r="AA29" s="1"/>
  <c r="AR6"/>
  <c r="G11" i="5"/>
  <c r="I11" s="1"/>
  <c r="L11" s="1"/>
  <c r="H18"/>
  <c r="AR8" i="1"/>
  <c r="W21"/>
  <c r="W23" s="1"/>
  <c r="AC9" l="1"/>
  <c r="AP9"/>
  <c r="F12" i="5"/>
  <c r="F8"/>
  <c r="AQ22" i="1"/>
  <c r="G5" i="5"/>
  <c r="I5" s="1"/>
  <c r="AR5" i="1"/>
  <c r="AS18"/>
  <c r="AU18" s="1"/>
  <c r="AR18"/>
  <c r="H20" i="5"/>
  <c r="AQ24" i="1"/>
  <c r="G27" i="5"/>
  <c r="I27" s="1"/>
  <c r="L27" s="1"/>
  <c r="AR27" i="1"/>
  <c r="G30" i="5"/>
  <c r="I30" s="1"/>
  <c r="AR30" i="1"/>
  <c r="G12" i="5"/>
  <c r="I12" s="1"/>
  <c r="AR12" i="1"/>
  <c r="G19" i="5"/>
  <c r="I19" s="1"/>
  <c r="AR19" i="1"/>
  <c r="G31" i="5"/>
  <c r="G35" s="1"/>
  <c r="AP35" i="1"/>
  <c r="AR31"/>
  <c r="F20" i="5"/>
  <c r="J31"/>
  <c r="D35"/>
  <c r="H24"/>
  <c r="D32"/>
  <c r="D34" s="1"/>
  <c r="F30"/>
  <c r="L5" i="6"/>
  <c r="I9"/>
  <c r="L9" s="1"/>
  <c r="I7"/>
  <c r="L7" s="1"/>
  <c r="L30" i="5"/>
  <c r="G28"/>
  <c r="G29" s="1"/>
  <c r="AR28" i="1"/>
  <c r="AR29" s="1"/>
  <c r="D33" i="5"/>
  <c r="AC7" i="1"/>
  <c r="D29" i="5"/>
  <c r="E21"/>
  <c r="E24"/>
  <c r="F18"/>
  <c r="AS31" i="1"/>
  <c r="AP32"/>
  <c r="AP34" s="1"/>
  <c r="AS27"/>
  <c r="AU27" s="1"/>
  <c r="J30" i="5"/>
  <c r="K30"/>
  <c r="AB16" i="1"/>
  <c r="AP29"/>
  <c r="AP33"/>
  <c r="AS28"/>
  <c r="AU28" s="1"/>
  <c r="AS30"/>
  <c r="AU30" s="1"/>
  <c r="J34" i="6"/>
  <c r="K34"/>
  <c r="J32"/>
  <c r="K32"/>
  <c r="J33"/>
  <c r="K33"/>
  <c r="J29"/>
  <c r="K29"/>
  <c r="F6" i="5"/>
  <c r="J5"/>
  <c r="D14" i="6"/>
  <c r="D9" i="5"/>
  <c r="E9" s="1"/>
  <c r="J18" i="6"/>
  <c r="J11" i="5"/>
  <c r="D22" i="6"/>
  <c r="AQ21" i="1"/>
  <c r="AQ23" s="1"/>
  <c r="K11" i="5"/>
  <c r="AS6" i="1"/>
  <c r="AU6" s="1"/>
  <c r="AQ6"/>
  <c r="G6" i="5"/>
  <c r="I6" s="1"/>
  <c r="G14"/>
  <c r="AS8" i="1"/>
  <c r="AU8" s="1"/>
  <c r="AP37"/>
  <c r="AQ8"/>
  <c r="G8" i="5"/>
  <c r="I8" s="1"/>
  <c r="J12"/>
  <c r="AQ5" i="1"/>
  <c r="AP13"/>
  <c r="AP15"/>
  <c r="AP22"/>
  <c r="AS5"/>
  <c r="AS12"/>
  <c r="AU12" s="1"/>
  <c r="AS19"/>
  <c r="AT19"/>
  <c r="G18" i="5"/>
  <c r="H19"/>
  <c r="AP14" i="1"/>
  <c r="AT18"/>
  <c r="AT20"/>
  <c r="H21" i="6"/>
  <c r="H23" s="1"/>
  <c r="J19"/>
  <c r="J11"/>
  <c r="K11"/>
  <c r="K18"/>
  <c r="K19"/>
  <c r="G22"/>
  <c r="D13"/>
  <c r="D15"/>
  <c r="D21"/>
  <c r="H5" i="5"/>
  <c r="D7"/>
  <c r="G13"/>
  <c r="G15"/>
  <c r="E8" i="6"/>
  <c r="Z21" i="1"/>
  <c r="Z23" s="1"/>
  <c r="G21" i="6"/>
  <c r="G23" s="1"/>
  <c r="J12"/>
  <c r="K5"/>
  <c r="E6" i="5" l="1"/>
  <c r="L8"/>
  <c r="K27"/>
  <c r="J27"/>
  <c r="K31"/>
  <c r="G33"/>
  <c r="K33" s="1"/>
  <c r="K28"/>
  <c r="G32"/>
  <c r="G34" s="1"/>
  <c r="J34" s="1"/>
  <c r="I31"/>
  <c r="L31" s="1"/>
  <c r="J33"/>
  <c r="E8"/>
  <c r="K12"/>
  <c r="D15"/>
  <c r="K15" s="1"/>
  <c r="D21"/>
  <c r="D23" s="1"/>
  <c r="L12"/>
  <c r="L6"/>
  <c r="AT24" i="1"/>
  <c r="AS22"/>
  <c r="AU19"/>
  <c r="AS14"/>
  <c r="AU5"/>
  <c r="AP24"/>
  <c r="AR20"/>
  <c r="AU29"/>
  <c r="AU31"/>
  <c r="AS35"/>
  <c r="AR7"/>
  <c r="AR9"/>
  <c r="AT22"/>
  <c r="G22" i="5"/>
  <c r="I18"/>
  <c r="L18" s="1"/>
  <c r="K5"/>
  <c r="F5"/>
  <c r="J28"/>
  <c r="I28"/>
  <c r="E22" i="6"/>
  <c r="I7" i="5"/>
  <c r="D24"/>
  <c r="E23"/>
  <c r="H21"/>
  <c r="H23" s="1"/>
  <c r="H22"/>
  <c r="J19"/>
  <c r="F19"/>
  <c r="L19" s="1"/>
  <c r="E24" i="6"/>
  <c r="J35" i="5"/>
  <c r="K35"/>
  <c r="E22"/>
  <c r="I9"/>
  <c r="E21" i="6"/>
  <c r="M21" s="1"/>
  <c r="AS33" i="1"/>
  <c r="K19" i="5"/>
  <c r="D22"/>
  <c r="J22" s="1"/>
  <c r="K32"/>
  <c r="AS29" i="1"/>
  <c r="AS32"/>
  <c r="AS34" s="1"/>
  <c r="J29" i="5"/>
  <c r="K29"/>
  <c r="K34"/>
  <c r="E5" i="6"/>
  <c r="K6" i="5"/>
  <c r="E6" i="6"/>
  <c r="D14" i="5"/>
  <c r="K14" s="1"/>
  <c r="E5"/>
  <c r="D13"/>
  <c r="K13" s="1"/>
  <c r="D37"/>
  <c r="K20" i="6"/>
  <c r="L21"/>
  <c r="AT21" i="1"/>
  <c r="AT23" s="1"/>
  <c r="G7" i="5"/>
  <c r="J7" s="1"/>
  <c r="K18"/>
  <c r="J18"/>
  <c r="AS20" i="1"/>
  <c r="AP21"/>
  <c r="AP23" s="1"/>
  <c r="G20" i="5"/>
  <c r="K8"/>
  <c r="J8"/>
  <c r="K7"/>
  <c r="J8" i="6"/>
  <c r="J15" i="5"/>
  <c r="L21"/>
  <c r="AS15" i="1"/>
  <c r="AS13"/>
  <c r="J21" i="6"/>
  <c r="G14"/>
  <c r="K14" s="1"/>
  <c r="K12"/>
  <c r="K8"/>
  <c r="H5"/>
  <c r="J20"/>
  <c r="J5"/>
  <c r="G15"/>
  <c r="J15" s="1"/>
  <c r="G13"/>
  <c r="K13" s="1"/>
  <c r="H8"/>
  <c r="AS37" i="1"/>
  <c r="G9" i="5"/>
  <c r="J22" i="6"/>
  <c r="K22"/>
  <c r="D23"/>
  <c r="K23" s="1"/>
  <c r="K21"/>
  <c r="H6" i="5"/>
  <c r="J6"/>
  <c r="D16"/>
  <c r="E7"/>
  <c r="G37"/>
  <c r="H8"/>
  <c r="E7" i="6"/>
  <c r="J32" i="5" l="1"/>
  <c r="M21"/>
  <c r="AS21" i="1"/>
  <c r="AS23" s="1"/>
  <c r="AS24"/>
  <c r="AU20"/>
  <c r="AU7"/>
  <c r="AU9"/>
  <c r="E23" i="6"/>
  <c r="G24" i="5"/>
  <c r="I20"/>
  <c r="L20" s="1"/>
  <c r="L28"/>
  <c r="I29"/>
  <c r="L29" s="1"/>
  <c r="F7"/>
  <c r="L7" s="1"/>
  <c r="F9"/>
  <c r="L9" s="1"/>
  <c r="L5"/>
  <c r="J14"/>
  <c r="J14" i="6"/>
  <c r="J13" i="5"/>
  <c r="K22"/>
  <c r="K15" i="6"/>
  <c r="J23"/>
  <c r="J13"/>
  <c r="D9"/>
  <c r="E9" s="1"/>
  <c r="D37"/>
  <c r="D16"/>
  <c r="AS7" i="1"/>
  <c r="AS16" s="1"/>
  <c r="AQ7"/>
  <c r="AP16"/>
  <c r="K20" i="5"/>
  <c r="G21"/>
  <c r="G23" s="1"/>
  <c r="J20"/>
  <c r="AS9" i="1"/>
  <c r="AQ9"/>
  <c r="K37" i="5"/>
  <c r="J37"/>
  <c r="K9"/>
  <c r="J9"/>
  <c r="H9"/>
  <c r="H7"/>
  <c r="G16"/>
  <c r="K23" l="1"/>
  <c r="J23"/>
  <c r="K21"/>
  <c r="J21"/>
  <c r="G16" i="6"/>
  <c r="K7"/>
  <c r="J7"/>
  <c r="H7"/>
  <c r="K16" i="5"/>
  <c r="J16"/>
  <c r="J6" i="6"/>
  <c r="K6"/>
  <c r="H6"/>
  <c r="G37"/>
  <c r="K16" l="1"/>
  <c r="J16"/>
  <c r="J37"/>
  <c r="K37"/>
  <c r="H9"/>
  <c r="J9"/>
  <c r="K9"/>
</calcChain>
</file>

<file path=xl/sharedStrings.xml><?xml version="1.0" encoding="utf-8"?>
<sst xmlns="http://schemas.openxmlformats.org/spreadsheetml/2006/main" count="358" uniqueCount="75">
  <si>
    <t>FNOL</t>
  </si>
  <si>
    <t>tis. Kč</t>
  </si>
  <si>
    <t>skutečnost</t>
  </si>
  <si>
    <t>Tržby</t>
  </si>
  <si>
    <t>Variabilní náklady</t>
  </si>
  <si>
    <t>Fixní náklady</t>
  </si>
  <si>
    <t>Přidaná hodnota</t>
  </si>
  <si>
    <t xml:space="preserve"> prosinec 2014</t>
  </si>
  <si>
    <t>% z</t>
  </si>
  <si>
    <t>CELKEM</t>
  </si>
  <si>
    <t>tržeb</t>
  </si>
  <si>
    <t>průměr</t>
  </si>
  <si>
    <t>Výsledek</t>
  </si>
  <si>
    <t>Osobní náklady</t>
  </si>
  <si>
    <t>Produktivita práce</t>
  </si>
  <si>
    <t>Zaměstnanci</t>
  </si>
  <si>
    <t>Mzdová nákladovost tržeb</t>
  </si>
  <si>
    <t>Mzdová nákladovost PH</t>
  </si>
  <si>
    <t>% z T</t>
  </si>
  <si>
    <t>vykázáno</t>
  </si>
  <si>
    <t>účetnictví</t>
  </si>
  <si>
    <t>dopravou</t>
  </si>
  <si>
    <t>index</t>
  </si>
  <si>
    <t>hodnota</t>
  </si>
  <si>
    <t>počet měsíců</t>
  </si>
  <si>
    <t>doprava nákladní</t>
  </si>
  <si>
    <t>spotřeba PHM na 100 km ND</t>
  </si>
  <si>
    <t>ujeté Kilometry nákladní</t>
  </si>
  <si>
    <t>PHM litr nákladní</t>
  </si>
  <si>
    <t>PHM v tis. Kč nákladní</t>
  </si>
  <si>
    <t>PHM Kč/litr nákladní</t>
  </si>
  <si>
    <t>PHM litr/km nákladní</t>
  </si>
  <si>
    <t>PHM litr zařízení</t>
  </si>
  <si>
    <t>PHM v tis. Kč zařízení</t>
  </si>
  <si>
    <t>PHM Kč/litr zařízení</t>
  </si>
  <si>
    <t>PHM litr/Mh zařízení</t>
  </si>
  <si>
    <t>Motohodiny zařízení</t>
  </si>
  <si>
    <t>spotřeba PHM na 100 Mh</t>
  </si>
  <si>
    <t>BOD ZLOMU 9404</t>
  </si>
  <si>
    <t>FPD zařízení</t>
  </si>
  <si>
    <t>Využitelnost</t>
  </si>
  <si>
    <t>Průměrné ON na osobu</t>
  </si>
  <si>
    <t>počet</t>
  </si>
  <si>
    <t>vozů</t>
  </si>
  <si>
    <t>PHM Kč/km</t>
  </si>
  <si>
    <t>PHM Kč/motohodina</t>
  </si>
  <si>
    <t>Motozařízení</t>
  </si>
  <si>
    <t>VOZY</t>
  </si>
  <si>
    <t xml:space="preserve"> září 2015</t>
  </si>
  <si>
    <t xml:space="preserve"> srpen 2015</t>
  </si>
  <si>
    <t xml:space="preserve"> červenec 2015</t>
  </si>
  <si>
    <t xml:space="preserve"> říjen 2015</t>
  </si>
  <si>
    <t xml:space="preserve"> listopad 2015</t>
  </si>
  <si>
    <t xml:space="preserve"> prosinec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</si>
  <si>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</si>
  <si>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</si>
  <si>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</si>
  <si>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</si>
  <si>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leden 2015</t>
  </si>
  <si>
    <t xml:space="preserve"> únor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</si>
  <si>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</si>
  <si>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</si>
  <si>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</si>
  <si>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</si>
  <si>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</si>
  <si>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 xml:space="preserve"> červen 2014</t>
  </si>
  <si>
    <t xml:space="preserve"> červenec 2014</t>
  </si>
  <si>
    <t xml:space="preserve"> srpen 2014</t>
  </si>
  <si>
    <t xml:space="preserve"> září 2014</t>
  </si>
  <si>
    <t xml:space="preserve"> říjen 2014</t>
  </si>
  <si>
    <t xml:space="preserve"> listopad 2014</t>
  </si>
  <si>
    <t>2015/2014</t>
  </si>
  <si>
    <t>2015 - 2014</t>
  </si>
  <si>
    <t xml:space="preserve"> 1 - 6 2014</t>
  </si>
  <si>
    <t xml:space="preserve"> 1 - 6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</si>
</sst>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164" fontId="12" fillId="0" borderId="0" xfId="0" applyNumberFormat="1" applyFont="1"/>
    <xf numFmtId="3" fontId="0" fillId="0" borderId="0" xfId="0" applyNumberFormat="1"/>
    <xf numFmtId="3" fontId="9" fillId="0" borderId="0" xfId="0" applyNumberFormat="1" applyFont="1"/>
    <xf numFmtId="164" fontId="9" fillId="0" borderId="0" xfId="0" applyNumberFormat="1" applyFont="1"/>
    <xf numFmtId="3" fontId="12" fillId="0" borderId="0" xfId="0" applyNumberFormat="1" applyFont="1"/>
    <xf numFmtId="164" fontId="10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3" fontId="7" fillId="0" borderId="0" xfId="0" applyNumberFormat="1" applyFont="1"/>
    <xf numFmtId="166" fontId="11" fillId="0" borderId="0" xfId="0" applyNumberFormat="1" applyFont="1" applyAlignment="1"/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0" fontId="8" fillId="0" borderId="1" xfId="0" applyFont="1" applyBorder="1"/>
    <xf numFmtId="164" fontId="14" fillId="0" borderId="1" xfId="0" applyNumberFormat="1" applyFont="1" applyBorder="1"/>
    <xf numFmtId="0" fontId="18" fillId="0" borderId="0" xfId="0" applyFont="1"/>
    <xf numFmtId="3" fontId="18" fillId="0" borderId="0" xfId="0" applyNumberFormat="1" applyFont="1"/>
    <xf numFmtId="0" fontId="19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20" fillId="0" borderId="0" xfId="0" applyFont="1"/>
    <xf numFmtId="0" fontId="20" fillId="0" borderId="0" xfId="0" applyFont="1" applyBorder="1"/>
    <xf numFmtId="0" fontId="21" fillId="0" borderId="0" xfId="0" applyFont="1" applyAlignment="1">
      <alignment horizontal="center"/>
    </xf>
    <xf numFmtId="10" fontId="22" fillId="0" borderId="0" xfId="1" applyNumberFormat="1" applyFont="1" applyAlignment="1">
      <alignment horizontal="center"/>
    </xf>
    <xf numFmtId="2" fontId="9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5" fillId="0" borderId="0" xfId="0" applyNumberFormat="1" applyFont="1"/>
    <xf numFmtId="0" fontId="15" fillId="0" borderId="0" xfId="0" applyFont="1"/>
    <xf numFmtId="3" fontId="24" fillId="0" borderId="0" xfId="0" applyNumberFormat="1" applyFont="1" applyAlignment="1"/>
    <xf numFmtId="3" fontId="26" fillId="0" borderId="0" xfId="0" applyNumberFormat="1" applyFont="1"/>
    <xf numFmtId="166" fontId="27" fillId="0" borderId="0" xfId="0" applyNumberFormat="1" applyFont="1" applyAlignment="1"/>
    <xf numFmtId="0" fontId="21" fillId="0" borderId="0" xfId="0" applyFont="1" applyBorder="1" applyAlignment="1">
      <alignment horizontal="center"/>
    </xf>
    <xf numFmtId="10" fontId="22" fillId="0" borderId="0" xfId="1" applyNumberFormat="1" applyFont="1" applyBorder="1" applyAlignment="1">
      <alignment horizontal="center"/>
    </xf>
    <xf numFmtId="0" fontId="0" fillId="0" borderId="0" xfId="0" applyBorder="1"/>
    <xf numFmtId="164" fontId="23" fillId="0" borderId="0" xfId="0" applyNumberFormat="1" applyFont="1" applyBorder="1"/>
    <xf numFmtId="164" fontId="24" fillId="0" borderId="0" xfId="0" applyNumberFormat="1" applyFont="1" applyBorder="1"/>
    <xf numFmtId="0" fontId="15" fillId="0" borderId="0" xfId="0" applyFont="1" applyBorder="1"/>
    <xf numFmtId="3" fontId="24" fillId="0" borderId="0" xfId="0" applyNumberFormat="1" applyFont="1" applyBorder="1"/>
    <xf numFmtId="166" fontId="23" fillId="0" borderId="0" xfId="0" applyNumberFormat="1" applyFont="1" applyBorder="1" applyAlignment="1"/>
    <xf numFmtId="2" fontId="23" fillId="0" borderId="0" xfId="0" applyNumberFormat="1" applyFont="1" applyBorder="1"/>
    <xf numFmtId="4" fontId="27" fillId="0" borderId="0" xfId="0" applyNumberFormat="1" applyFont="1" applyBorder="1"/>
    <xf numFmtId="0" fontId="28" fillId="0" borderId="0" xfId="0" applyFont="1" applyBorder="1"/>
    <xf numFmtId="164" fontId="15" fillId="0" borderId="0" xfId="0" applyNumberFormat="1" applyFont="1"/>
    <xf numFmtId="3" fontId="24" fillId="0" borderId="0" xfId="0" applyNumberFormat="1" applyFont="1"/>
    <xf numFmtId="4" fontId="27" fillId="0" borderId="0" xfId="0" applyNumberFormat="1" applyFont="1"/>
    <xf numFmtId="3" fontId="23" fillId="0" borderId="0" xfId="0" applyNumberFormat="1" applyFont="1" applyAlignment="1"/>
    <xf numFmtId="164" fontId="29" fillId="0" borderId="1" xfId="1" applyNumberFormat="1" applyFont="1" applyBorder="1"/>
    <xf numFmtId="165" fontId="23" fillId="0" borderId="0" xfId="0" applyNumberFormat="1" applyFont="1"/>
    <xf numFmtId="164" fontId="30" fillId="0" borderId="1" xfId="1" applyNumberFormat="1" applyFont="1" applyBorder="1"/>
    <xf numFmtId="165" fontId="24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17" fillId="0" borderId="0" xfId="1" applyNumberFormat="1" applyFont="1" applyBorder="1"/>
    <xf numFmtId="167" fontId="9" fillId="0" borderId="0" xfId="0" applyNumberFormat="1" applyFont="1"/>
    <xf numFmtId="164" fontId="29" fillId="0" borderId="0" xfId="1" applyNumberFormat="1" applyFont="1" applyBorder="1"/>
    <xf numFmtId="167" fontId="23" fillId="0" borderId="0" xfId="0" applyNumberFormat="1" applyFont="1"/>
    <xf numFmtId="3" fontId="23" fillId="0" borderId="0" xfId="0" applyNumberFormat="1" applyFont="1"/>
    <xf numFmtId="3" fontId="15" fillId="0" borderId="0" xfId="0" applyNumberFormat="1" applyFont="1"/>
    <xf numFmtId="0" fontId="3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3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165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89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G29" sqref="G29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30"/>
    </row>
    <row r="2" spans="2:21">
      <c r="B2" s="47" t="s">
        <v>25</v>
      </c>
      <c r="D2" s="3" t="s">
        <v>2</v>
      </c>
      <c r="E2" s="5" t="s">
        <v>18</v>
      </c>
      <c r="F2" s="58" t="s">
        <v>42</v>
      </c>
      <c r="G2" s="3" t="s">
        <v>2</v>
      </c>
      <c r="H2" s="5" t="s">
        <v>18</v>
      </c>
      <c r="I2" s="58" t="s">
        <v>42</v>
      </c>
      <c r="J2" s="31" t="s">
        <v>22</v>
      </c>
      <c r="K2" s="1" t="s">
        <v>23</v>
      </c>
      <c r="L2" s="98" t="s">
        <v>47</v>
      </c>
      <c r="M2" s="5"/>
      <c r="N2" s="3"/>
      <c r="O2" s="5"/>
      <c r="P2" s="3"/>
      <c r="S2" s="3"/>
      <c r="T2" s="5"/>
      <c r="U2" s="1"/>
    </row>
    <row r="3" spans="2:21">
      <c r="B3" s="48" t="s">
        <v>1</v>
      </c>
      <c r="D3" s="4" t="s">
        <v>73</v>
      </c>
      <c r="E3" s="26" t="s">
        <v>19</v>
      </c>
      <c r="F3" s="3" t="s">
        <v>43</v>
      </c>
      <c r="G3" s="4" t="s">
        <v>74</v>
      </c>
      <c r="H3" s="6" t="s">
        <v>19</v>
      </c>
      <c r="I3" s="3" t="s">
        <v>43</v>
      </c>
      <c r="J3" s="32" t="s">
        <v>71</v>
      </c>
      <c r="K3" s="29" t="s">
        <v>72</v>
      </c>
      <c r="L3" s="29" t="s">
        <v>72</v>
      </c>
      <c r="M3" s="6"/>
      <c r="N3" s="4"/>
      <c r="O3" s="6"/>
      <c r="P3" s="4"/>
      <c r="S3" s="4"/>
      <c r="T3" s="6"/>
    </row>
    <row r="4" spans="2:21">
      <c r="B4" s="49">
        <v>9404</v>
      </c>
      <c r="D4" s="25" t="s">
        <v>20</v>
      </c>
      <c r="E4" s="3" t="s">
        <v>21</v>
      </c>
      <c r="F4" s="3">
        <f>+'2014'!AR4</f>
        <v>14</v>
      </c>
      <c r="G4" s="25" t="s">
        <v>20</v>
      </c>
      <c r="H4" s="3" t="s">
        <v>21</v>
      </c>
      <c r="I4" s="3">
        <f>+'2015'!AR4</f>
        <v>15</v>
      </c>
      <c r="J4" s="30"/>
    </row>
    <row r="5" spans="2:21">
      <c r="B5" s="10" t="s">
        <v>3</v>
      </c>
      <c r="C5" s="19"/>
      <c r="D5" s="8">
        <f>+'2014'!AP5</f>
        <v>4727.6664199999996</v>
      </c>
      <c r="E5" s="15">
        <f>+D5/$D$5</f>
        <v>1</v>
      </c>
      <c r="F5" s="93">
        <f>+D5/F4</f>
        <v>337.69045857142856</v>
      </c>
      <c r="G5" s="14">
        <f>+'2015'!AP5</f>
        <v>4769.7341100000003</v>
      </c>
      <c r="H5" s="15">
        <f>+G5/$G$5</f>
        <v>1</v>
      </c>
      <c r="I5" s="93">
        <f>+G5/I4</f>
        <v>317.98227400000002</v>
      </c>
      <c r="J5" s="83">
        <f t="shared" ref="J5:J29" si="0">+G5/D5</f>
        <v>1.008898193371266</v>
      </c>
      <c r="K5" s="84">
        <f>+G5-D5</f>
        <v>42.067690000000766</v>
      </c>
      <c r="L5" s="84">
        <f>+I5-F5</f>
        <v>-19.708184571428546</v>
      </c>
      <c r="M5" s="19"/>
    </row>
    <row r="6" spans="2:21">
      <c r="B6" s="7" t="s">
        <v>4</v>
      </c>
      <c r="C6" s="19"/>
      <c r="D6" s="11">
        <f>+'2014'!AP6</f>
        <v>628.44448999999986</v>
      </c>
      <c r="E6" s="12">
        <f>+D6/$D$5</f>
        <v>0.13292911008725525</v>
      </c>
      <c r="F6" s="80">
        <f>+D6/F4</f>
        <v>44.888892142857131</v>
      </c>
      <c r="G6" s="16">
        <f>+'2015'!AP6</f>
        <v>752.32980000000009</v>
      </c>
      <c r="H6" s="12">
        <f>+G6/$G$5</f>
        <v>0.15772992427873511</v>
      </c>
      <c r="I6" s="80">
        <f>+G6/I4</f>
        <v>50.155320000000003</v>
      </c>
      <c r="J6" s="85">
        <f t="shared" si="0"/>
        <v>1.1971300758798924</v>
      </c>
      <c r="K6" s="86">
        <f>+G6-D6</f>
        <v>123.88531000000023</v>
      </c>
      <c r="L6" s="86">
        <f>+I6-F6</f>
        <v>5.2664278571428724</v>
      </c>
      <c r="M6" s="19"/>
    </row>
    <row r="7" spans="2:21">
      <c r="B7" s="10" t="s">
        <v>6</v>
      </c>
      <c r="C7" s="19"/>
      <c r="D7" s="8">
        <f>+D5-D6</f>
        <v>4099.2219299999997</v>
      </c>
      <c r="E7" s="17">
        <f>+D7/$D$5</f>
        <v>0.86707088991274472</v>
      </c>
      <c r="F7" s="82">
        <f>+F5-F6</f>
        <v>292.80156642857145</v>
      </c>
      <c r="G7" s="8">
        <f>+G5-G6</f>
        <v>4017.4043100000004</v>
      </c>
      <c r="H7" s="17">
        <f>+G7/$G$5</f>
        <v>0.84227007572126489</v>
      </c>
      <c r="I7" s="82">
        <f>+I5-I6</f>
        <v>267.826954</v>
      </c>
      <c r="J7" s="87">
        <f t="shared" si="0"/>
        <v>0.98004069518626935</v>
      </c>
      <c r="K7" s="84">
        <f>+G7-D7</f>
        <v>-81.817619999999351</v>
      </c>
      <c r="L7" s="84">
        <f>+I7-F7</f>
        <v>-24.974612428571447</v>
      </c>
      <c r="M7" s="19"/>
    </row>
    <row r="8" spans="2:21">
      <c r="B8" s="7" t="s">
        <v>5</v>
      </c>
      <c r="C8" s="19"/>
      <c r="D8" s="11">
        <f>+'2014'!AP8</f>
        <v>3967.9399899999999</v>
      </c>
      <c r="E8" s="12">
        <f>+D8/$D$5</f>
        <v>0.83930202292064426</v>
      </c>
      <c r="F8" s="80">
        <f>+D8/F4</f>
        <v>283.424285</v>
      </c>
      <c r="G8" s="16">
        <f>+'2015'!AP8</f>
        <v>4034.9371199999996</v>
      </c>
      <c r="H8" s="12">
        <f>+G8/$G$5</f>
        <v>0.84594592213023789</v>
      </c>
      <c r="I8" s="80">
        <f>+G8/I4</f>
        <v>268.99580799999995</v>
      </c>
      <c r="J8" s="85">
        <f t="shared" si="0"/>
        <v>1.016884612713107</v>
      </c>
      <c r="K8" s="86">
        <f>+G8-D8</f>
        <v>66.997129999999743</v>
      </c>
      <c r="L8" s="86">
        <f>+I8-F8</f>
        <v>-14.428477000000044</v>
      </c>
      <c r="M8" s="19"/>
    </row>
    <row r="9" spans="2:21">
      <c r="B9" s="21" t="s">
        <v>12</v>
      </c>
      <c r="C9" s="19"/>
      <c r="D9" s="18">
        <f>+D5-D6-D8</f>
        <v>131.28193999999985</v>
      </c>
      <c r="E9" s="15">
        <f>+D9/$D$5</f>
        <v>2.7768866992100485E-2</v>
      </c>
      <c r="F9" s="18">
        <f>+F5-F6-F8</f>
        <v>9.3772814285714503</v>
      </c>
      <c r="G9" s="18">
        <f>+G5-G6-G8</f>
        <v>-17.532809999999245</v>
      </c>
      <c r="H9" s="15">
        <f>+G9/$G$5</f>
        <v>-3.6758464089729401E-3</v>
      </c>
      <c r="I9" s="18">
        <f>+I5-I6-I8</f>
        <v>-1.1688539999999534</v>
      </c>
      <c r="J9" s="87">
        <f t="shared" si="0"/>
        <v>-0.13355081437705191</v>
      </c>
      <c r="K9" s="84">
        <f>+G9-D9</f>
        <v>-148.81474999999909</v>
      </c>
      <c r="L9" s="84">
        <f>+I9-F9</f>
        <v>-10.546135428571404</v>
      </c>
      <c r="M9" s="19"/>
    </row>
    <row r="10" spans="2:21" ht="7.5" customHeight="1">
      <c r="B10" s="19"/>
      <c r="C10" s="19"/>
      <c r="D10" s="37"/>
      <c r="E10" s="19"/>
      <c r="F10" s="64"/>
      <c r="G10" s="33"/>
      <c r="H10" s="19"/>
      <c r="I10" s="64"/>
      <c r="J10" s="88"/>
      <c r="K10" s="64"/>
      <c r="L10" s="64"/>
      <c r="M10" s="19"/>
    </row>
    <row r="11" spans="2:21">
      <c r="B11" s="20" t="s">
        <v>15</v>
      </c>
      <c r="C11" s="19"/>
      <c r="D11" s="37">
        <f>+'2014'!AP11</f>
        <v>102</v>
      </c>
      <c r="E11" s="19"/>
      <c r="F11" s="80">
        <f>+D11/F4</f>
        <v>7.2857142857142856</v>
      </c>
      <c r="G11" s="33">
        <f>+'2015'!AP11</f>
        <v>102</v>
      </c>
      <c r="H11" s="19"/>
      <c r="I11" s="80">
        <f>+G11/I4</f>
        <v>6.8</v>
      </c>
      <c r="J11" s="85">
        <f t="shared" si="0"/>
        <v>1</v>
      </c>
      <c r="K11" s="86">
        <f t="shared" ref="K11:K16" si="1">+G11-D11</f>
        <v>0</v>
      </c>
      <c r="L11" s="86">
        <f>+I11-F11</f>
        <v>-0.48571428571428577</v>
      </c>
      <c r="M11" s="19"/>
    </row>
    <row r="12" spans="2:21">
      <c r="B12" s="20" t="s">
        <v>13</v>
      </c>
      <c r="C12" s="19"/>
      <c r="D12" s="37">
        <f>+'2014'!AP12</f>
        <v>2911.9001699999999</v>
      </c>
      <c r="E12" s="19"/>
      <c r="F12" s="80">
        <f>+D12/F4</f>
        <v>207.99286928571428</v>
      </c>
      <c r="G12" s="16">
        <f>+'2015'!AP12</f>
        <v>2970.1184499999999</v>
      </c>
      <c r="H12" s="19"/>
      <c r="I12" s="80">
        <f>+G12/I4</f>
        <v>198.00789666666665</v>
      </c>
      <c r="J12" s="85">
        <f t="shared" si="0"/>
        <v>1.0199932266221887</v>
      </c>
      <c r="K12" s="86">
        <f t="shared" si="1"/>
        <v>58.21828000000005</v>
      </c>
      <c r="L12" s="86">
        <f>+I12-F12</f>
        <v>-9.9849726190476247</v>
      </c>
      <c r="M12" s="19"/>
    </row>
    <row r="13" spans="2:21">
      <c r="B13" s="21" t="s">
        <v>16</v>
      </c>
      <c r="C13" s="19"/>
      <c r="D13" s="38">
        <f>+D12/D5</f>
        <v>0.61592758695525729</v>
      </c>
      <c r="E13" s="19"/>
      <c r="F13" s="38"/>
      <c r="G13" s="38">
        <f>+G12/G5</f>
        <v>0.62270105240730067</v>
      </c>
      <c r="H13" s="19"/>
      <c r="I13" s="38"/>
      <c r="J13" s="83">
        <f t="shared" si="0"/>
        <v>1.010997178232472</v>
      </c>
      <c r="K13" s="61">
        <f t="shared" si="1"/>
        <v>6.7734654520433812E-3</v>
      </c>
      <c r="L13" s="64"/>
      <c r="M13" s="19"/>
    </row>
    <row r="14" spans="2:21">
      <c r="B14" s="21" t="s">
        <v>14</v>
      </c>
      <c r="C14" s="19"/>
      <c r="D14" s="8">
        <f>+D5/D11</f>
        <v>46.349670784313723</v>
      </c>
      <c r="E14" s="19"/>
      <c r="F14" s="8"/>
      <c r="G14" s="8">
        <f>+G5/G11</f>
        <v>46.762099117647061</v>
      </c>
      <c r="H14" s="19"/>
      <c r="I14" s="8"/>
      <c r="J14" s="83">
        <f t="shared" si="0"/>
        <v>1.008898193371266</v>
      </c>
      <c r="K14" s="84">
        <f t="shared" si="1"/>
        <v>0.41242833333333806</v>
      </c>
      <c r="L14" s="64"/>
      <c r="M14" s="19"/>
    </row>
    <row r="15" spans="2:21">
      <c r="B15" s="10" t="s">
        <v>41</v>
      </c>
      <c r="C15" s="19"/>
      <c r="D15" s="8">
        <f>+D12/D11</f>
        <v>28.548040882352939</v>
      </c>
      <c r="E15" s="19"/>
      <c r="F15" s="8"/>
      <c r="G15" s="8">
        <f>+G12/G11</f>
        <v>29.118808333333334</v>
      </c>
      <c r="H15" s="19"/>
      <c r="I15" s="8"/>
      <c r="J15" s="83">
        <f t="shared" si="0"/>
        <v>1.0199932266221889</v>
      </c>
      <c r="K15" s="84">
        <f t="shared" si="1"/>
        <v>0.57076745098039439</v>
      </c>
      <c r="L15" s="64"/>
      <c r="M15" s="19"/>
    </row>
    <row r="16" spans="2:21">
      <c r="B16" s="21" t="s">
        <v>17</v>
      </c>
      <c r="C16" s="19"/>
      <c r="D16" s="38">
        <f>+D12/D7</f>
        <v>0.71035435985774986</v>
      </c>
      <c r="E16" s="19"/>
      <c r="F16" s="38"/>
      <c r="G16" s="38">
        <f>+G12/G7</f>
        <v>0.739312805187885</v>
      </c>
      <c r="H16" s="19"/>
      <c r="I16" s="38"/>
      <c r="J16" s="83">
        <f t="shared" si="0"/>
        <v>1.040766196375474</v>
      </c>
      <c r="K16" s="61">
        <f t="shared" si="1"/>
        <v>2.8958445330135141E-2</v>
      </c>
      <c r="L16" s="64"/>
      <c r="M16" s="19"/>
    </row>
    <row r="17" spans="2:13" ht="7.5" customHeight="1">
      <c r="B17" s="7"/>
      <c r="C17" s="19"/>
      <c r="D17" s="37"/>
      <c r="E17" s="19"/>
      <c r="F17" s="64"/>
      <c r="G17" s="33"/>
      <c r="H17" s="19"/>
      <c r="I17" s="64"/>
      <c r="J17" s="88"/>
      <c r="K17" s="64"/>
      <c r="L17" s="64"/>
      <c r="M17" s="19"/>
    </row>
    <row r="18" spans="2:13">
      <c r="B18" s="20" t="s">
        <v>27</v>
      </c>
      <c r="C18" s="19"/>
      <c r="D18" s="11">
        <f>+'2014'!AP18</f>
        <v>68463</v>
      </c>
      <c r="E18" s="11">
        <f>+'2014'!AQ18</f>
        <v>68463</v>
      </c>
      <c r="F18" s="80">
        <f>+D18/F4</f>
        <v>4890.2142857142853</v>
      </c>
      <c r="G18" s="16">
        <f>+'2015'!AP18</f>
        <v>68601.11</v>
      </c>
      <c r="H18" s="16">
        <f>+'2015'!AQ18</f>
        <v>57011.041669999999</v>
      </c>
      <c r="I18" s="80">
        <f>+G18/I4</f>
        <v>4573.4073333333336</v>
      </c>
      <c r="J18" s="85">
        <f t="shared" si="0"/>
        <v>1.0020172940128245</v>
      </c>
      <c r="K18" s="86">
        <f t="shared" ref="K18:K29" si="2">+G18-D18</f>
        <v>138.11000000000058</v>
      </c>
      <c r="L18" s="86">
        <f>+I18-F18</f>
        <v>-316.80695238095177</v>
      </c>
      <c r="M18" s="19"/>
    </row>
    <row r="19" spans="2:13">
      <c r="B19" s="20" t="s">
        <v>28</v>
      </c>
      <c r="C19" s="19"/>
      <c r="D19" s="11">
        <f>+'2014'!AP19</f>
        <v>9371.7000000000007</v>
      </c>
      <c r="E19" s="27">
        <f>+'2014'!AQ19</f>
        <v>9371.7000000000007</v>
      </c>
      <c r="F19" s="80">
        <f>+D19/F4</f>
        <v>669.40714285714296</v>
      </c>
      <c r="G19" s="16">
        <f>+'2015'!AP19</f>
        <v>9353.5999999999985</v>
      </c>
      <c r="H19" s="16">
        <f>+'2015'!AQ19</f>
        <v>9353.5999999999985</v>
      </c>
      <c r="I19" s="80">
        <f>+G19/I4</f>
        <v>623.57333333333327</v>
      </c>
      <c r="J19" s="85">
        <f t="shared" si="0"/>
        <v>0.99806865349936491</v>
      </c>
      <c r="K19" s="86">
        <f t="shared" si="2"/>
        <v>-18.100000000002183</v>
      </c>
      <c r="L19" s="86">
        <f>+I19-F19</f>
        <v>-45.833809523809691</v>
      </c>
      <c r="M19" s="19"/>
    </row>
    <row r="20" spans="2:13">
      <c r="B20" s="20" t="s">
        <v>29</v>
      </c>
      <c r="C20" s="19"/>
      <c r="D20" s="11">
        <f>+'2014'!AP20</f>
        <v>334.42721</v>
      </c>
      <c r="E20" s="27">
        <f>+'2014'!AQ20</f>
        <v>341.68313000000001</v>
      </c>
      <c r="F20" s="80">
        <f>+D20/F4</f>
        <v>23.887657857142859</v>
      </c>
      <c r="G20" s="16">
        <f>+'2015'!AP20</f>
        <v>287.01440000000002</v>
      </c>
      <c r="H20" s="16">
        <f>+'2015'!AQ20</f>
        <v>288.37565700000005</v>
      </c>
      <c r="I20" s="80">
        <f>+G20/I4</f>
        <v>19.134293333333336</v>
      </c>
      <c r="J20" s="85">
        <f t="shared" si="0"/>
        <v>0.8582268171301014</v>
      </c>
      <c r="K20" s="86">
        <f t="shared" si="2"/>
        <v>-47.412809999999979</v>
      </c>
      <c r="L20" s="86">
        <f>+I20-F20</f>
        <v>-4.7533645238095232</v>
      </c>
      <c r="M20" s="19"/>
    </row>
    <row r="21" spans="2:13">
      <c r="B21" s="21" t="s">
        <v>30</v>
      </c>
      <c r="C21" s="19"/>
      <c r="D21" s="50">
        <f>+D20/D19*1000</f>
        <v>35.684796781800522</v>
      </c>
      <c r="E21" s="28">
        <f>+E20/E19*1000</f>
        <v>36.459034113341225</v>
      </c>
      <c r="F21" s="28"/>
      <c r="G21" s="50">
        <f>+G20/G19*1000</f>
        <v>30.684912760862137</v>
      </c>
      <c r="H21" s="50">
        <f>+H20/H19*1000</f>
        <v>30.830445710742396</v>
      </c>
      <c r="I21" s="28"/>
      <c r="J21" s="83">
        <f t="shared" si="0"/>
        <v>0.85988755795609972</v>
      </c>
      <c r="K21" s="84">
        <f t="shared" si="2"/>
        <v>-4.999884020938385</v>
      </c>
      <c r="L21" s="89">
        <f>+H21/E21</f>
        <v>0.84561882837869273</v>
      </c>
      <c r="M21" s="90">
        <f>+H21-E21</f>
        <v>-5.6285884025988295</v>
      </c>
    </row>
    <row r="22" spans="2:13">
      <c r="B22" s="21" t="s">
        <v>31</v>
      </c>
      <c r="C22" s="19"/>
      <c r="D22" s="52">
        <f>+D19/D18</f>
        <v>0.13688707769159986</v>
      </c>
      <c r="E22" s="52">
        <f>+E19/E18</f>
        <v>0.13688707769159986</v>
      </c>
      <c r="F22" s="52"/>
      <c r="G22" s="60">
        <f>+G19/G18</f>
        <v>0.13634764801910637</v>
      </c>
      <c r="H22" s="52">
        <f>+H19/H18</f>
        <v>0.16406646372367534</v>
      </c>
      <c r="I22" s="52"/>
      <c r="J22" s="83">
        <f t="shared" si="0"/>
        <v>0.99605930901886297</v>
      </c>
      <c r="K22" s="84">
        <f t="shared" si="2"/>
        <v>-5.394296724934855E-4</v>
      </c>
      <c r="L22" s="19"/>
      <c r="M22" s="19"/>
    </row>
    <row r="23" spans="2:13">
      <c r="B23" s="10" t="s">
        <v>26</v>
      </c>
      <c r="C23" s="10"/>
      <c r="D23" s="54">
        <f>+D20*1000/(D18*D21)*100</f>
        <v>13.688707769159988</v>
      </c>
      <c r="E23" s="54">
        <f>+E20*1000/(E18*E21)*100</f>
        <v>13.688707769159986</v>
      </c>
      <c r="F23" s="54"/>
      <c r="G23" s="54">
        <f>+G20/(G18*G21)*1000*100</f>
        <v>13.634764801910634</v>
      </c>
      <c r="H23" s="54">
        <f>+H20*1000/(H18*H21)*100</f>
        <v>16.406646372367536</v>
      </c>
      <c r="I23" s="54"/>
      <c r="J23" s="83">
        <f t="shared" si="0"/>
        <v>0.99605930901886264</v>
      </c>
      <c r="K23" s="84">
        <f t="shared" si="2"/>
        <v>-5.3942967249353657E-2</v>
      </c>
      <c r="L23" s="19"/>
      <c r="M23" s="19"/>
    </row>
    <row r="24" spans="2:13">
      <c r="B24" s="21" t="s">
        <v>44</v>
      </c>
      <c r="C24" s="10"/>
      <c r="D24" s="54">
        <f>+D20/D18*1000</f>
        <v>4.8847875494792801</v>
      </c>
      <c r="E24" s="54">
        <f>+E20/E18*1000</f>
        <v>4.9907706352336296</v>
      </c>
      <c r="F24" s="54"/>
      <c r="G24" s="54">
        <f>+G20/G18*1000</f>
        <v>4.1838156846150163</v>
      </c>
      <c r="H24" s="54">
        <f>+H20/H18*1000</f>
        <v>5.0582422027862597</v>
      </c>
      <c r="I24" s="54"/>
      <c r="J24" s="83"/>
      <c r="K24" s="84"/>
      <c r="L24" s="19"/>
      <c r="M24" s="19"/>
    </row>
    <row r="25" spans="2:13" ht="7.5" customHeight="1">
      <c r="B25" s="10"/>
      <c r="C25" s="10"/>
      <c r="D25" s="54"/>
      <c r="E25" s="54"/>
      <c r="F25" s="54"/>
      <c r="G25" s="54"/>
      <c r="H25" s="54"/>
      <c r="I25" s="54"/>
      <c r="J25" s="83"/>
      <c r="K25" s="84"/>
      <c r="L25" s="19"/>
      <c r="M25" s="19"/>
    </row>
    <row r="26" spans="2:13" ht="15" customHeight="1">
      <c r="B26" s="20" t="s">
        <v>46</v>
      </c>
      <c r="C26" s="10"/>
      <c r="D26" s="54"/>
      <c r="E26" s="54"/>
      <c r="F26" s="97">
        <f>+'2014'!AR26</f>
        <v>4</v>
      </c>
      <c r="G26" s="54"/>
      <c r="H26" s="54"/>
      <c r="I26" s="97">
        <f>+'2015'!AR26</f>
        <v>3.1666666666666665</v>
      </c>
      <c r="J26" s="83"/>
      <c r="K26" s="84"/>
      <c r="L26" s="19"/>
      <c r="M26" s="19"/>
    </row>
    <row r="27" spans="2:13">
      <c r="B27" s="20" t="s">
        <v>36</v>
      </c>
      <c r="C27" s="10"/>
      <c r="D27" s="11">
        <f>+'2014'!AP27</f>
        <v>39.36</v>
      </c>
      <c r="E27" s="54"/>
      <c r="F27" s="11">
        <f>+D27/F26</f>
        <v>9.84</v>
      </c>
      <c r="G27" s="11">
        <f>+'2015'!AP27</f>
        <v>53.5</v>
      </c>
      <c r="H27" s="54"/>
      <c r="I27" s="11">
        <f>+G27/I26</f>
        <v>16.894736842105264</v>
      </c>
      <c r="J27" s="85">
        <f t="shared" si="0"/>
        <v>1.3592479674796749</v>
      </c>
      <c r="K27" s="86">
        <f t="shared" si="2"/>
        <v>14.14</v>
      </c>
      <c r="L27" s="86">
        <f>+I27-F27</f>
        <v>7.0547368421052639</v>
      </c>
      <c r="M27" s="19"/>
    </row>
    <row r="28" spans="2:13">
      <c r="B28" s="20" t="s">
        <v>39</v>
      </c>
      <c r="C28" s="10"/>
      <c r="D28" s="11">
        <f>+'2014'!AP28</f>
        <v>4000</v>
      </c>
      <c r="E28" s="54"/>
      <c r="F28" s="11">
        <f>+D28/F26</f>
        <v>1000</v>
      </c>
      <c r="G28" s="11">
        <f>+'2015'!AP28</f>
        <v>3176</v>
      </c>
      <c r="H28" s="54"/>
      <c r="I28" s="11">
        <f>+G28/I26</f>
        <v>1002.9473684210527</v>
      </c>
      <c r="J28" s="85">
        <f t="shared" si="0"/>
        <v>0.79400000000000004</v>
      </c>
      <c r="K28" s="86">
        <f t="shared" si="2"/>
        <v>-824</v>
      </c>
      <c r="L28" s="86">
        <f>+I28-F28</f>
        <v>2.9473684210527153</v>
      </c>
      <c r="M28" s="19"/>
    </row>
    <row r="29" spans="2:13">
      <c r="B29" s="21" t="s">
        <v>40</v>
      </c>
      <c r="C29" s="10"/>
      <c r="D29" s="38">
        <f>+D27/D28</f>
        <v>9.8399999999999998E-3</v>
      </c>
      <c r="E29" s="54"/>
      <c r="F29" s="38">
        <f>+F27/F28</f>
        <v>9.8399999999999998E-3</v>
      </c>
      <c r="G29" s="38">
        <f>+G27/G28</f>
        <v>1.6845088161209068E-2</v>
      </c>
      <c r="H29" s="54"/>
      <c r="I29" s="38">
        <f>+I27/I28</f>
        <v>1.6845088161209068E-2</v>
      </c>
      <c r="J29" s="83">
        <f t="shared" si="0"/>
        <v>1.7118992033749054</v>
      </c>
      <c r="K29" s="84">
        <f t="shared" si="2"/>
        <v>7.0050881612090683E-3</v>
      </c>
      <c r="L29" s="86">
        <f>+I29-F29</f>
        <v>7.0050881612090683E-3</v>
      </c>
      <c r="M29" s="19"/>
    </row>
    <row r="30" spans="2:13">
      <c r="B30" s="20" t="s">
        <v>32</v>
      </c>
      <c r="C30" s="10"/>
      <c r="D30" s="11">
        <f>+'2014'!AP30</f>
        <v>175.06719999999999</v>
      </c>
      <c r="E30" s="54"/>
      <c r="F30" s="11">
        <f>+D30/F26</f>
        <v>43.766799999999996</v>
      </c>
      <c r="G30" s="11">
        <f>+'2015'!AP30</f>
        <v>285.02999999999997</v>
      </c>
      <c r="H30" s="54"/>
      <c r="I30" s="11">
        <f>+G30/I26</f>
        <v>90.009473684210519</v>
      </c>
      <c r="J30" s="85">
        <f t="shared" ref="J30" si="3">+G30/D30</f>
        <v>1.628117659961432</v>
      </c>
      <c r="K30" s="86">
        <f t="shared" ref="K30" si="4">+G30-D30</f>
        <v>109.96279999999999</v>
      </c>
      <c r="L30" s="86">
        <f>+I30-F30</f>
        <v>46.242673684210523</v>
      </c>
      <c r="M30" s="19"/>
    </row>
    <row r="31" spans="2:13">
      <c r="B31" s="20" t="s">
        <v>33</v>
      </c>
      <c r="C31" s="10"/>
      <c r="D31" s="11">
        <f>+'2014'!AP31</f>
        <v>17.36759</v>
      </c>
      <c r="E31" s="54"/>
      <c r="F31" s="11">
        <f>+D31/F26</f>
        <v>4.3418975</v>
      </c>
      <c r="G31" s="11">
        <f>+'2015'!AP31</f>
        <v>8.7599099999999996</v>
      </c>
      <c r="H31" s="54"/>
      <c r="I31" s="11">
        <f>+G31/I26</f>
        <v>2.7662873684210525</v>
      </c>
      <c r="J31" s="85">
        <f t="shared" ref="J31:J32" si="5">+G31/D31</f>
        <v>0.50438258848809769</v>
      </c>
      <c r="K31" s="86">
        <f t="shared" ref="K31:K32" si="6">+G31-D31</f>
        <v>-8.6076800000000002</v>
      </c>
      <c r="L31" s="86">
        <f>+I31-F31</f>
        <v>-1.5756101315789475</v>
      </c>
      <c r="M31" s="19"/>
    </row>
    <row r="32" spans="2:13">
      <c r="B32" s="21" t="s">
        <v>34</v>
      </c>
      <c r="C32" s="10"/>
      <c r="D32" s="50">
        <f>+D31/D30*1000</f>
        <v>99.205276602356136</v>
      </c>
      <c r="E32" s="54"/>
      <c r="F32" s="54"/>
      <c r="G32" s="50">
        <f>+G31/G30*1000</f>
        <v>30.733291232501845</v>
      </c>
      <c r="H32" s="54"/>
      <c r="I32" s="54"/>
      <c r="J32" s="83">
        <f t="shared" si="5"/>
        <v>0.3097949250793372</v>
      </c>
      <c r="K32" s="84">
        <f t="shared" si="6"/>
        <v>-68.471985369854295</v>
      </c>
      <c r="L32" s="19"/>
      <c r="M32" s="19"/>
    </row>
    <row r="33" spans="2:13">
      <c r="B33" s="21" t="s">
        <v>35</v>
      </c>
      <c r="C33" s="10"/>
      <c r="D33" s="52">
        <f>+D30/D27</f>
        <v>4.447845528455284</v>
      </c>
      <c r="E33" s="54"/>
      <c r="F33" s="54"/>
      <c r="G33" s="52">
        <f>+G30/G27</f>
        <v>5.3276635514018684</v>
      </c>
      <c r="H33" s="54"/>
      <c r="I33" s="54"/>
      <c r="J33" s="83">
        <f t="shared" ref="J33" si="7">+G33/D33</f>
        <v>1.1978076840389151</v>
      </c>
      <c r="K33" s="84">
        <f t="shared" ref="K33" si="8">+G33-D33</f>
        <v>0.8798180229465844</v>
      </c>
      <c r="L33" s="19"/>
      <c r="M33" s="19"/>
    </row>
    <row r="34" spans="2:13" ht="15" customHeight="1">
      <c r="B34" s="10" t="s">
        <v>37</v>
      </c>
      <c r="D34" s="54">
        <f>+D31*1000/(D27*D32)*100</f>
        <v>444.78455284552842</v>
      </c>
      <c r="G34" s="54">
        <f>+G31*1000/(G27*G32)*100</f>
        <v>532.76635514018687</v>
      </c>
      <c r="J34" s="83">
        <f t="shared" ref="J34:J35" si="9">+G34/D34</f>
        <v>1.1978076840389151</v>
      </c>
      <c r="K34" s="84">
        <f t="shared" ref="K34:K35" si="10">+G34-D34</f>
        <v>87.981802294658451</v>
      </c>
    </row>
    <row r="35" spans="2:13" ht="15" customHeight="1">
      <c r="B35" s="21" t="s">
        <v>45</v>
      </c>
      <c r="D35" s="54">
        <f>+D31/D27*1000</f>
        <v>441.24974593495938</v>
      </c>
      <c r="G35" s="54">
        <f>+G31/G27*1000</f>
        <v>163.73663551401867</v>
      </c>
      <c r="J35" s="83">
        <f t="shared" si="9"/>
        <v>0.37107474173629007</v>
      </c>
      <c r="K35" s="84">
        <f t="shared" si="10"/>
        <v>-277.51311042094073</v>
      </c>
    </row>
    <row r="36" spans="2:13" ht="7.5" customHeight="1">
      <c r="B36" s="19"/>
      <c r="G36" s="13"/>
      <c r="J36" s="42"/>
      <c r="K36" s="19"/>
    </row>
    <row r="37" spans="2:13">
      <c r="B37" s="23" t="s">
        <v>38</v>
      </c>
      <c r="C37" s="22"/>
      <c r="D37" s="24">
        <f>+D8/(1-D6/D5)</f>
        <v>4576.2578771377075</v>
      </c>
      <c r="G37" s="24">
        <f>+G8/(1-G6/G5)</f>
        <v>4790.5502478462668</v>
      </c>
      <c r="J37" s="43">
        <f>+G37/D37</f>
        <v>1.0468269875653493</v>
      </c>
      <c r="K37" s="24">
        <f>+G37-D37</f>
        <v>214.29237070855925</v>
      </c>
    </row>
    <row r="38" spans="2:13">
      <c r="G38" s="13"/>
    </row>
    <row r="39" spans="2:13">
      <c r="G39" s="13"/>
    </row>
    <row r="40" spans="2:13">
      <c r="G40" s="13"/>
    </row>
    <row r="41" spans="2:13">
      <c r="G41" s="13"/>
    </row>
    <row r="42" spans="2:13">
      <c r="G42" s="13"/>
    </row>
    <row r="43" spans="2:13">
      <c r="G43" s="13"/>
    </row>
    <row r="44" spans="2:13">
      <c r="G44" s="13"/>
    </row>
    <row r="45" spans="2:13">
      <c r="G45" s="13"/>
    </row>
    <row r="46" spans="2:13">
      <c r="G46" s="13"/>
    </row>
    <row r="47" spans="2:13">
      <c r="G47" s="13"/>
    </row>
    <row r="48" spans="2:13">
      <c r="G48" s="13"/>
    </row>
    <row r="49" spans="7:7">
      <c r="G49" s="13"/>
    </row>
    <row r="50" spans="7:7">
      <c r="G50" s="13"/>
    </row>
    <row r="51" spans="7:7">
      <c r="G51" s="13"/>
    </row>
    <row r="52" spans="7:7">
      <c r="G52" s="13"/>
    </row>
    <row r="53" spans="7:7">
      <c r="G53" s="13"/>
    </row>
    <row r="54" spans="7:7">
      <c r="G54" s="13"/>
    </row>
    <row r="55" spans="7:7">
      <c r="G55" s="13"/>
    </row>
    <row r="56" spans="7:7">
      <c r="G56" s="13"/>
    </row>
    <row r="57" spans="7:7">
      <c r="G57" s="13"/>
    </row>
    <row r="58" spans="7:7">
      <c r="G58" s="13"/>
    </row>
    <row r="59" spans="7:7">
      <c r="G59" s="13"/>
    </row>
    <row r="60" spans="7:7">
      <c r="G60" s="13"/>
    </row>
    <row r="61" spans="7:7">
      <c r="G61" s="13"/>
    </row>
    <row r="62" spans="7:7">
      <c r="G62" s="13"/>
    </row>
    <row r="63" spans="7:7">
      <c r="G63" s="13"/>
    </row>
    <row r="64" spans="7:7">
      <c r="G64" s="13"/>
    </row>
    <row r="65" spans="7:7">
      <c r="G65" s="13"/>
    </row>
    <row r="66" spans="7:7">
      <c r="G66" s="13"/>
    </row>
    <row r="67" spans="7:7">
      <c r="G67" s="13"/>
    </row>
    <row r="68" spans="7:7">
      <c r="G68" s="13"/>
    </row>
    <row r="69" spans="7:7">
      <c r="G69" s="13"/>
    </row>
    <row r="70" spans="7:7">
      <c r="G70" s="13"/>
    </row>
    <row r="71" spans="7:7">
      <c r="G71" s="13"/>
    </row>
    <row r="72" spans="7:7">
      <c r="G72" s="13"/>
    </row>
    <row r="73" spans="7:7">
      <c r="G73" s="13"/>
    </row>
    <row r="74" spans="7:7">
      <c r="G74" s="13"/>
    </row>
    <row r="75" spans="7:7">
      <c r="G75" s="13"/>
    </row>
    <row r="76" spans="7:7">
      <c r="G76" s="13"/>
    </row>
    <row r="77" spans="7:7">
      <c r="G77" s="13"/>
    </row>
    <row r="78" spans="7:7">
      <c r="G78" s="13"/>
    </row>
    <row r="79" spans="7:7">
      <c r="G79" s="13"/>
    </row>
    <row r="80" spans="7:7">
      <c r="G80" s="13"/>
    </row>
    <row r="81" spans="7:7">
      <c r="G81" s="13"/>
    </row>
    <row r="82" spans="7:7">
      <c r="G82" s="13"/>
    </row>
    <row r="83" spans="7:7">
      <c r="G83" s="13"/>
    </row>
    <row r="84" spans="7:7">
      <c r="G84" s="13"/>
    </row>
    <row r="85" spans="7:7">
      <c r="G85" s="13"/>
    </row>
    <row r="86" spans="7:7">
      <c r="G86" s="13"/>
    </row>
    <row r="87" spans="7:7">
      <c r="G87" s="13"/>
    </row>
    <row r="88" spans="7:7">
      <c r="G88" s="13"/>
    </row>
    <row r="89" spans="7:7">
      <c r="G89" s="13"/>
    </row>
  </sheetData>
  <pageMargins left="0.71" right="0.17" top="0.17" bottom="0.28000000000000003" header="0.17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89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9.5703125" customWidth="1"/>
    <col min="9" max="9" width="5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30"/>
    </row>
    <row r="2" spans="2:21">
      <c r="B2" s="47" t="s">
        <v>25</v>
      </c>
      <c r="D2" s="3" t="s">
        <v>2</v>
      </c>
      <c r="E2" s="5" t="s">
        <v>18</v>
      </c>
      <c r="F2" s="58" t="s">
        <v>42</v>
      </c>
      <c r="G2" s="3" t="s">
        <v>2</v>
      </c>
      <c r="H2" s="5" t="s">
        <v>18</v>
      </c>
      <c r="I2" s="58" t="s">
        <v>42</v>
      </c>
      <c r="J2" s="31" t="s">
        <v>22</v>
      </c>
      <c r="K2" s="1" t="s">
        <v>23</v>
      </c>
      <c r="L2" s="98" t="s">
        <v>47</v>
      </c>
      <c r="M2" s="5"/>
      <c r="N2" s="3"/>
      <c r="O2" s="5"/>
      <c r="P2" s="3"/>
      <c r="S2" s="3"/>
      <c r="T2" s="5"/>
      <c r="U2" s="1"/>
    </row>
    <row r="3" spans="2:21">
      <c r="B3" s="48" t="s">
        <v>1</v>
      </c>
      <c r="D3" s="4" t="s">
        <v>65</v>
      </c>
      <c r="E3" s="26" t="s">
        <v>19</v>
      </c>
      <c r="F3" s="3" t="s">
        <v>43</v>
      </c>
      <c r="G3" s="4" t="s">
        <v>54</v>
      </c>
      <c r="H3" s="6" t="s">
        <v>19</v>
      </c>
      <c r="I3" s="3" t="s">
        <v>43</v>
      </c>
      <c r="J3" s="32" t="s">
        <v>71</v>
      </c>
      <c r="K3" s="29" t="s">
        <v>72</v>
      </c>
      <c r="L3" s="29" t="s">
        <v>72</v>
      </c>
      <c r="M3" s="6"/>
      <c r="N3" s="4"/>
      <c r="O3" s="6"/>
      <c r="P3" s="4"/>
      <c r="S3" s="4"/>
      <c r="T3" s="6"/>
    </row>
    <row r="4" spans="2:21">
      <c r="B4" s="49">
        <v>9404</v>
      </c>
      <c r="D4" s="25" t="s">
        <v>20</v>
      </c>
      <c r="E4" s="3" t="s">
        <v>21</v>
      </c>
      <c r="F4" s="3">
        <f>+'2014'!U4</f>
        <v>14</v>
      </c>
      <c r="G4" s="25" t="s">
        <v>20</v>
      </c>
      <c r="H4" s="3" t="s">
        <v>21</v>
      </c>
      <c r="I4" s="3">
        <f>+'2015'!U4</f>
        <v>15</v>
      </c>
      <c r="J4" s="30"/>
    </row>
    <row r="5" spans="2:21">
      <c r="B5" s="10" t="s">
        <v>3</v>
      </c>
      <c r="C5" s="19"/>
      <c r="D5" s="8">
        <f>+'2014'!S5</f>
        <v>705.45600000000002</v>
      </c>
      <c r="E5" s="15">
        <f>+D5/$D$5</f>
        <v>1</v>
      </c>
      <c r="F5" s="93">
        <f>+D5/F4</f>
        <v>50.389714285714284</v>
      </c>
      <c r="G5" s="14">
        <f>+'2015'!S5</f>
        <v>808.43151</v>
      </c>
      <c r="H5" s="15">
        <f>+G5/$G$5</f>
        <v>1</v>
      </c>
      <c r="I5" s="93">
        <f>+G5/I4</f>
        <v>53.895434000000002</v>
      </c>
      <c r="J5" s="83">
        <f t="shared" ref="J5:J23" si="0">+G5/D5</f>
        <v>1.145970138463632</v>
      </c>
      <c r="K5" s="84">
        <f>+G5-D5</f>
        <v>102.97550999999999</v>
      </c>
      <c r="L5" s="84">
        <f>+I5-F5</f>
        <v>3.5057197142857177</v>
      </c>
      <c r="M5" s="64"/>
    </row>
    <row r="6" spans="2:21">
      <c r="B6" s="7" t="s">
        <v>4</v>
      </c>
      <c r="C6" s="19"/>
      <c r="D6" s="11">
        <f>+'2014'!S6</f>
        <v>156.33857</v>
      </c>
      <c r="E6" s="12">
        <f>+D6/$D$5</f>
        <v>0.22161349538454561</v>
      </c>
      <c r="F6" s="80">
        <f>+D6/F4</f>
        <v>11.167040714285715</v>
      </c>
      <c r="G6" s="16">
        <f>+'2015'!S6</f>
        <v>195.67869000000002</v>
      </c>
      <c r="H6" s="12">
        <f>+G6/$G$5</f>
        <v>0.24204733187601757</v>
      </c>
      <c r="I6" s="80">
        <f>+G6/I4</f>
        <v>13.045246000000001</v>
      </c>
      <c r="J6" s="85">
        <f t="shared" si="0"/>
        <v>1.2516341296968496</v>
      </c>
      <c r="K6" s="86">
        <f>+G6-D6</f>
        <v>39.340120000000013</v>
      </c>
      <c r="L6" s="86">
        <f>+I6-F6</f>
        <v>1.8782052857142855</v>
      </c>
      <c r="M6" s="64"/>
    </row>
    <row r="7" spans="2:21">
      <c r="B7" s="10" t="s">
        <v>6</v>
      </c>
      <c r="C7" s="19"/>
      <c r="D7" s="8">
        <f>+'2014'!S7</f>
        <v>549.11743000000001</v>
      </c>
      <c r="E7" s="17">
        <f>+D7/$D$5</f>
        <v>0.77838650461545444</v>
      </c>
      <c r="F7" s="82">
        <f>+F5-F6</f>
        <v>39.222673571428572</v>
      </c>
      <c r="G7" s="14">
        <f>+'2015'!S7</f>
        <v>612.75281999999993</v>
      </c>
      <c r="H7" s="17">
        <f>+G7/$G$5</f>
        <v>0.75795266812398232</v>
      </c>
      <c r="I7" s="82">
        <f>+I5-I6</f>
        <v>40.850188000000003</v>
      </c>
      <c r="J7" s="87">
        <f t="shared" si="0"/>
        <v>1.1158866692685385</v>
      </c>
      <c r="K7" s="84">
        <f>+G7-D7</f>
        <v>63.635389999999916</v>
      </c>
      <c r="L7" s="84">
        <f>+I7-F7</f>
        <v>1.6275144285714305</v>
      </c>
      <c r="M7" s="64"/>
    </row>
    <row r="8" spans="2:21">
      <c r="B8" s="7" t="s">
        <v>5</v>
      </c>
      <c r="C8" s="19"/>
      <c r="D8" s="11">
        <f>+'2014'!S8</f>
        <v>587.14949000000001</v>
      </c>
      <c r="E8" s="12">
        <f>+D8/$D$5</f>
        <v>0.83229781871583774</v>
      </c>
      <c r="F8" s="80">
        <f>+D8/F4</f>
        <v>41.93924928571429</v>
      </c>
      <c r="G8" s="16">
        <f>+'2015'!S8</f>
        <v>669.73978999999997</v>
      </c>
      <c r="H8" s="12">
        <f>+G8/$G$5</f>
        <v>0.82844345094861527</v>
      </c>
      <c r="I8" s="80">
        <f>+G8/I4</f>
        <v>44.649319333333331</v>
      </c>
      <c r="J8" s="85">
        <f t="shared" si="0"/>
        <v>1.1406631554768105</v>
      </c>
      <c r="K8" s="86">
        <f>+G8-D8</f>
        <v>82.590299999999957</v>
      </c>
      <c r="L8" s="86">
        <f>+I8-F8</f>
        <v>2.7100700476190411</v>
      </c>
      <c r="M8" s="64"/>
    </row>
    <row r="9" spans="2:21">
      <c r="B9" s="21" t="s">
        <v>12</v>
      </c>
      <c r="C9" s="19"/>
      <c r="D9" s="18">
        <f>+D5-D6-D8</f>
        <v>-38.032060000000001</v>
      </c>
      <c r="E9" s="15">
        <f>+D9/$D$5</f>
        <v>-5.3911314100383301E-2</v>
      </c>
      <c r="F9" s="18">
        <f>+F5-F6-F8</f>
        <v>-2.7165757142857174</v>
      </c>
      <c r="G9" s="18">
        <f>+G5-G6-G8</f>
        <v>-56.986970000000042</v>
      </c>
      <c r="H9" s="15">
        <f>+G9/$G$5</f>
        <v>-7.0490782824632905E-2</v>
      </c>
      <c r="I9" s="18">
        <f>+I5-I6-I8</f>
        <v>-3.7991313333333281</v>
      </c>
      <c r="J9" s="87">
        <f t="shared" si="0"/>
        <v>1.4983929348029015</v>
      </c>
      <c r="K9" s="84">
        <f>+G9-D9</f>
        <v>-18.954910000000041</v>
      </c>
      <c r="L9" s="84">
        <f>+I9-F9</f>
        <v>-1.0825556190476107</v>
      </c>
      <c r="M9" s="64"/>
    </row>
    <row r="10" spans="2:21" ht="7.5" customHeight="1">
      <c r="B10" s="19"/>
      <c r="C10" s="19"/>
      <c r="D10" s="37"/>
      <c r="E10" s="19"/>
      <c r="F10" s="64"/>
      <c r="G10" s="33"/>
      <c r="H10" s="19"/>
      <c r="I10" s="64"/>
      <c r="J10" s="88"/>
      <c r="K10" s="64"/>
      <c r="L10" s="64"/>
      <c r="M10" s="64"/>
    </row>
    <row r="11" spans="2:21">
      <c r="B11" s="20" t="s">
        <v>15</v>
      </c>
      <c r="C11" s="19"/>
      <c r="D11" s="37">
        <f>+'2014'!S11</f>
        <v>17</v>
      </c>
      <c r="E11" s="19"/>
      <c r="F11" s="80">
        <f>+D11/F4</f>
        <v>1.2142857142857142</v>
      </c>
      <c r="G11" s="33">
        <f>+'2015'!S11</f>
        <v>17</v>
      </c>
      <c r="H11" s="19"/>
      <c r="I11" s="80">
        <f>+G11/I4</f>
        <v>1.1333333333333333</v>
      </c>
      <c r="J11" s="85">
        <f t="shared" si="0"/>
        <v>1</v>
      </c>
      <c r="K11" s="86">
        <f t="shared" ref="K11:K16" si="1">+G11-D11</f>
        <v>0</v>
      </c>
      <c r="L11" s="86">
        <f>+I11-F11</f>
        <v>-8.0952380952380887E-2</v>
      </c>
      <c r="M11" s="64"/>
    </row>
    <row r="12" spans="2:21">
      <c r="B12" s="20" t="s">
        <v>13</v>
      </c>
      <c r="C12" s="19"/>
      <c r="D12" s="37">
        <f>+'2014'!S12</f>
        <v>474.40483</v>
      </c>
      <c r="E12" s="19"/>
      <c r="F12" s="80">
        <f>+D12/F4</f>
        <v>33.886059285714289</v>
      </c>
      <c r="G12" s="33">
        <f>+'2015'!S12</f>
        <v>505.44499999999999</v>
      </c>
      <c r="H12" s="19"/>
      <c r="I12" s="80">
        <f>+G12/I4</f>
        <v>33.696333333333335</v>
      </c>
      <c r="J12" s="85">
        <f t="shared" si="0"/>
        <v>1.0654297090524985</v>
      </c>
      <c r="K12" s="86">
        <f t="shared" si="1"/>
        <v>31.040169999999989</v>
      </c>
      <c r="L12" s="86">
        <f>+I12-F12</f>
        <v>-0.1897259523809538</v>
      </c>
      <c r="M12" s="64"/>
    </row>
    <row r="13" spans="2:21">
      <c r="B13" s="21" t="s">
        <v>16</v>
      </c>
      <c r="C13" s="19"/>
      <c r="D13" s="38">
        <f>+D12/D5</f>
        <v>0.67247968689755278</v>
      </c>
      <c r="E13" s="19"/>
      <c r="F13" s="38"/>
      <c r="G13" s="38">
        <f>+G12/G5</f>
        <v>0.62521684737399708</v>
      </c>
      <c r="H13" s="19"/>
      <c r="I13" s="38"/>
      <c r="J13" s="83">
        <f t="shared" si="0"/>
        <v>0.92971856184742152</v>
      </c>
      <c r="K13" s="61">
        <f t="shared" si="1"/>
        <v>-4.72628395235557E-2</v>
      </c>
      <c r="L13" s="64"/>
      <c r="M13" s="64"/>
    </row>
    <row r="14" spans="2:21">
      <c r="B14" s="21" t="s">
        <v>14</v>
      </c>
      <c r="C14" s="19"/>
      <c r="D14" s="8">
        <f>+D5/D11</f>
        <v>41.49741176470588</v>
      </c>
      <c r="E14" s="19"/>
      <c r="F14" s="8"/>
      <c r="G14" s="8">
        <f>+G5/G11</f>
        <v>47.554794705882351</v>
      </c>
      <c r="H14" s="19"/>
      <c r="I14" s="8"/>
      <c r="J14" s="83">
        <f t="shared" si="0"/>
        <v>1.145970138463632</v>
      </c>
      <c r="K14" s="84">
        <f t="shared" si="1"/>
        <v>6.0573829411764706</v>
      </c>
      <c r="L14" s="64"/>
      <c r="M14" s="64"/>
    </row>
    <row r="15" spans="2:21">
      <c r="B15" s="10" t="s">
        <v>41</v>
      </c>
      <c r="C15" s="19"/>
      <c r="D15" s="8">
        <f>+D12/D11</f>
        <v>27.906166470588236</v>
      </c>
      <c r="E15" s="19"/>
      <c r="F15" s="8"/>
      <c r="G15" s="8">
        <f>+G12/G11</f>
        <v>29.73205882352941</v>
      </c>
      <c r="H15" s="19"/>
      <c r="I15" s="8"/>
      <c r="J15" s="83">
        <f t="shared" si="0"/>
        <v>1.0654297090524985</v>
      </c>
      <c r="K15" s="84">
        <f t="shared" si="1"/>
        <v>1.8258923529411746</v>
      </c>
      <c r="L15" s="64"/>
      <c r="M15" s="64"/>
    </row>
    <row r="16" spans="2:21">
      <c r="B16" s="21" t="s">
        <v>17</v>
      </c>
      <c r="C16" s="19"/>
      <c r="D16" s="38">
        <f>+D12/D7</f>
        <v>0.86394057824753445</v>
      </c>
      <c r="E16" s="19"/>
      <c r="F16" s="38"/>
      <c r="G16" s="38">
        <f>+G12/G7</f>
        <v>0.82487584471663478</v>
      </c>
      <c r="H16" s="19"/>
      <c r="I16" s="38"/>
      <c r="J16" s="83">
        <f t="shared" si="0"/>
        <v>0.95478307824116704</v>
      </c>
      <c r="K16" s="61">
        <f t="shared" si="1"/>
        <v>-3.9064733530899676E-2</v>
      </c>
      <c r="L16" s="64"/>
      <c r="M16" s="64"/>
    </row>
    <row r="17" spans="2:13" ht="7.5" customHeight="1">
      <c r="B17" s="7"/>
      <c r="C17" s="19"/>
      <c r="D17" s="37"/>
      <c r="E17" s="19"/>
      <c r="F17" s="64"/>
      <c r="G17" s="33"/>
      <c r="H17" s="19"/>
      <c r="I17" s="64"/>
      <c r="J17" s="88"/>
      <c r="K17" s="64"/>
      <c r="L17" s="64"/>
      <c r="M17" s="64"/>
    </row>
    <row r="18" spans="2:13">
      <c r="B18" s="20" t="s">
        <v>27</v>
      </c>
      <c r="C18" s="19"/>
      <c r="D18" s="37">
        <f>+'2014'!S18</f>
        <v>11101</v>
      </c>
      <c r="E18" s="11">
        <f>+'2014'!T18</f>
        <v>11101</v>
      </c>
      <c r="F18" s="80">
        <f>+D18/F4</f>
        <v>792.92857142857144</v>
      </c>
      <c r="G18" s="33">
        <f>+'2015'!S18</f>
        <v>10903</v>
      </c>
      <c r="H18" s="16">
        <f>+'2015'!T18</f>
        <v>10903</v>
      </c>
      <c r="I18" s="80">
        <f>+G18/I4</f>
        <v>726.86666666666667</v>
      </c>
      <c r="J18" s="85">
        <f t="shared" si="0"/>
        <v>0.98216376902981717</v>
      </c>
      <c r="K18" s="86">
        <f t="shared" ref="K18:K23" si="2">+G18-D18</f>
        <v>-198</v>
      </c>
      <c r="L18" s="86">
        <f>+I18-F18</f>
        <v>-66.061904761904771</v>
      </c>
      <c r="M18" s="64"/>
    </row>
    <row r="19" spans="2:13">
      <c r="B19" s="20" t="s">
        <v>28</v>
      </c>
      <c r="C19" s="19"/>
      <c r="D19" s="37">
        <f>+'2014'!S19</f>
        <v>1564.08</v>
      </c>
      <c r="E19" s="11">
        <f>+'2014'!T19</f>
        <v>1564.08</v>
      </c>
      <c r="F19" s="80">
        <f>+D19/F4</f>
        <v>111.72</v>
      </c>
      <c r="G19" s="33">
        <f>+'2015'!S19</f>
        <v>1514.96</v>
      </c>
      <c r="H19" s="16">
        <f>+'2015'!T19</f>
        <v>1514.96</v>
      </c>
      <c r="I19" s="80">
        <f>+G19/I4</f>
        <v>100.99733333333333</v>
      </c>
      <c r="J19" s="85">
        <f t="shared" si="0"/>
        <v>0.96859495677970442</v>
      </c>
      <c r="K19" s="86">
        <f t="shared" si="2"/>
        <v>-49.119999999999891</v>
      </c>
      <c r="L19" s="86">
        <f>+I19-F19</f>
        <v>-10.722666666666669</v>
      </c>
      <c r="M19" s="64"/>
    </row>
    <row r="20" spans="2:13">
      <c r="B20" s="20" t="s">
        <v>29</v>
      </c>
      <c r="C20" s="19"/>
      <c r="D20" s="37">
        <f>+'2014'!S20</f>
        <v>56.774810000000002</v>
      </c>
      <c r="E20" s="11">
        <f>+'2014'!T20</f>
        <v>56.774769999999997</v>
      </c>
      <c r="F20" s="80">
        <f>+D20/F4</f>
        <v>4.0553435714285717</v>
      </c>
      <c r="G20" s="33">
        <f>+'2015'!S20</f>
        <v>47.761600000000001</v>
      </c>
      <c r="H20" s="16">
        <f>+'2015'!T20</f>
        <v>47.761609999999997</v>
      </c>
      <c r="I20" s="80">
        <f>+G20/I4</f>
        <v>3.1841066666666666</v>
      </c>
      <c r="J20" s="85">
        <f t="shared" si="0"/>
        <v>0.84124632033114688</v>
      </c>
      <c r="K20" s="86">
        <f t="shared" si="2"/>
        <v>-9.0132100000000008</v>
      </c>
      <c r="L20" s="86">
        <f>+I20-F20</f>
        <v>-0.87123690476190507</v>
      </c>
      <c r="M20" s="64"/>
    </row>
    <row r="21" spans="2:13">
      <c r="B21" s="21" t="s">
        <v>30</v>
      </c>
      <c r="C21" s="19"/>
      <c r="D21" s="50">
        <f>+D20/D19*1000</f>
        <v>36.299172676589436</v>
      </c>
      <c r="E21" s="28">
        <f>+E20/E19*1000</f>
        <v>36.299147102450007</v>
      </c>
      <c r="F21" s="28"/>
      <c r="G21" s="50">
        <f>+G20/G19*1000</f>
        <v>31.526640967418277</v>
      </c>
      <c r="H21" s="50">
        <f>+H20/H19*1000</f>
        <v>31.526647568252624</v>
      </c>
      <c r="I21" s="28"/>
      <c r="J21" s="83">
        <f t="shared" si="0"/>
        <v>0.86852230072314773</v>
      </c>
      <c r="K21" s="84">
        <f t="shared" si="2"/>
        <v>-4.7725317091711581</v>
      </c>
      <c r="L21" s="91">
        <f>+H21/E21</f>
        <v>0.86852309447581311</v>
      </c>
      <c r="M21" s="92">
        <f>+H21-E21</f>
        <v>-4.772499534197383</v>
      </c>
    </row>
    <row r="22" spans="2:13">
      <c r="B22" s="21" t="s">
        <v>31</v>
      </c>
      <c r="C22" s="19"/>
      <c r="D22" s="52">
        <f>+D19/D18</f>
        <v>0.14089541482749302</v>
      </c>
      <c r="E22" s="52">
        <f>+E19/E18</f>
        <v>0.14089541482749302</v>
      </c>
      <c r="F22" s="52"/>
      <c r="G22" s="60">
        <f>+G19/G18</f>
        <v>0.13894891314317162</v>
      </c>
      <c r="H22" s="60">
        <f>+H19/H18</f>
        <v>0.13894891314317162</v>
      </c>
      <c r="I22" s="52"/>
      <c r="J22" s="83">
        <f t="shared" si="0"/>
        <v>0.98618477622778133</v>
      </c>
      <c r="K22" s="84">
        <f t="shared" si="2"/>
        <v>-1.9465016843213945E-3</v>
      </c>
      <c r="L22" s="64"/>
      <c r="M22" s="64"/>
    </row>
    <row r="23" spans="2:13">
      <c r="B23" s="10" t="s">
        <v>26</v>
      </c>
      <c r="C23" s="10"/>
      <c r="D23" s="54">
        <f>+D20*1000/(D18*D21)*100</f>
        <v>14.089541482749301</v>
      </c>
      <c r="E23" s="54">
        <f>+E20*1000/(E18*E21)*100</f>
        <v>14.089541482749299</v>
      </c>
      <c r="F23" s="54"/>
      <c r="G23" s="54">
        <f>+G20/(G18*G21)*1000*100</f>
        <v>13.894891314317162</v>
      </c>
      <c r="H23" s="54">
        <f>+H20/(H18*H21)*1000*100</f>
        <v>13.89489131431716</v>
      </c>
      <c r="I23" s="54"/>
      <c r="J23" s="83">
        <f t="shared" si="0"/>
        <v>0.98618477622778133</v>
      </c>
      <c r="K23" s="84">
        <f t="shared" si="2"/>
        <v>-0.19465016843213867</v>
      </c>
      <c r="L23" s="64"/>
      <c r="M23" s="64"/>
    </row>
    <row r="24" spans="2:13">
      <c r="B24" s="21" t="s">
        <v>44</v>
      </c>
      <c r="C24" s="10"/>
      <c r="D24" s="54">
        <f>+D20/D18*1000</f>
        <v>5.1143869921628689</v>
      </c>
      <c r="E24" s="54">
        <f>+E20/E18*1000</f>
        <v>5.1143833888838843</v>
      </c>
      <c r="F24" s="54"/>
      <c r="G24" s="54">
        <f>+G20/G18*1000</f>
        <v>4.3805924974777586</v>
      </c>
      <c r="H24" s="54">
        <f>+H20/H18*1000</f>
        <v>4.3805934146565164</v>
      </c>
      <c r="I24" s="54"/>
      <c r="J24" s="83">
        <f t="shared" ref="J24" si="3">+G24/D24</f>
        <v>0.85652347078749524</v>
      </c>
      <c r="K24" s="84">
        <f t="shared" ref="K24" si="4">+G24-D24</f>
        <v>-0.73379449468511027</v>
      </c>
      <c r="L24" s="64"/>
      <c r="M24" s="64"/>
    </row>
    <row r="25" spans="2:13" ht="7.5" customHeight="1">
      <c r="B25" s="10"/>
      <c r="C25" s="10"/>
      <c r="D25" s="54"/>
      <c r="E25" s="54"/>
      <c r="F25" s="54"/>
      <c r="G25" s="54"/>
      <c r="H25" s="54"/>
      <c r="I25" s="54"/>
      <c r="J25" s="83"/>
      <c r="K25" s="84"/>
      <c r="L25" s="64"/>
      <c r="M25" s="64"/>
    </row>
    <row r="26" spans="2:13" ht="15" customHeight="1">
      <c r="B26" s="20" t="s">
        <v>46</v>
      </c>
      <c r="C26" s="10"/>
      <c r="D26" s="54"/>
      <c r="E26" s="54"/>
      <c r="F26" s="97">
        <f>+'2014'!U26</f>
        <v>4</v>
      </c>
      <c r="G26" s="54"/>
      <c r="H26" s="54"/>
      <c r="I26" s="97">
        <f>+'2015'!U26</f>
        <v>4</v>
      </c>
      <c r="J26" s="83"/>
      <c r="K26" s="84"/>
      <c r="L26" s="64"/>
      <c r="M26" s="64"/>
    </row>
    <row r="27" spans="2:13">
      <c r="B27" s="20" t="s">
        <v>36</v>
      </c>
      <c r="C27" s="10"/>
      <c r="D27" s="37">
        <f>+'2014'!S27</f>
        <v>4</v>
      </c>
      <c r="E27" s="54"/>
      <c r="F27" s="11">
        <f>+D27/F26</f>
        <v>1</v>
      </c>
      <c r="G27" s="33">
        <f>+'2015'!S27</f>
        <v>6</v>
      </c>
      <c r="H27" s="54"/>
      <c r="I27" s="11">
        <f>+G27/I26</f>
        <v>1.5</v>
      </c>
      <c r="J27" s="85">
        <f t="shared" ref="J27:J34" si="5">+G27/D27</f>
        <v>1.5</v>
      </c>
      <c r="K27" s="86">
        <f t="shared" ref="K27:K34" si="6">+G27-D27</f>
        <v>2</v>
      </c>
      <c r="L27" s="86">
        <f>+I27-F27</f>
        <v>0.5</v>
      </c>
      <c r="M27" s="64"/>
    </row>
    <row r="28" spans="2:13">
      <c r="B28" s="20" t="s">
        <v>39</v>
      </c>
      <c r="C28" s="10"/>
      <c r="D28" s="37">
        <f>+'2014'!S28</f>
        <v>672</v>
      </c>
      <c r="E28" s="54"/>
      <c r="F28" s="11">
        <f>+D28/F26</f>
        <v>168</v>
      </c>
      <c r="G28" s="33">
        <f>+'2015'!S28</f>
        <v>704</v>
      </c>
      <c r="H28" s="54"/>
      <c r="I28" s="11">
        <f>+G28/I26</f>
        <v>176</v>
      </c>
      <c r="J28" s="85">
        <f t="shared" si="5"/>
        <v>1.0476190476190477</v>
      </c>
      <c r="K28" s="86">
        <f t="shared" si="6"/>
        <v>32</v>
      </c>
      <c r="L28" s="86">
        <f>+I28-F28</f>
        <v>8</v>
      </c>
      <c r="M28" s="64"/>
    </row>
    <row r="29" spans="2:13">
      <c r="B29" s="21" t="s">
        <v>40</v>
      </c>
      <c r="C29" s="10"/>
      <c r="D29" s="38">
        <f>+D27/D28</f>
        <v>5.9523809523809521E-3</v>
      </c>
      <c r="E29" s="54"/>
      <c r="F29" s="38">
        <f>+F27/F28</f>
        <v>5.9523809523809521E-3</v>
      </c>
      <c r="G29" s="38">
        <f>+G27/G28</f>
        <v>8.5227272727272721E-3</v>
      </c>
      <c r="H29" s="54"/>
      <c r="I29" s="38">
        <f>+I27/I28</f>
        <v>8.5227272727272721E-3</v>
      </c>
      <c r="J29" s="83">
        <f t="shared" si="5"/>
        <v>1.4318181818181819</v>
      </c>
      <c r="K29" s="84">
        <f t="shared" si="6"/>
        <v>2.57034632034632E-3</v>
      </c>
      <c r="L29" s="86">
        <f>+I29-F29</f>
        <v>2.57034632034632E-3</v>
      </c>
      <c r="M29" s="64"/>
    </row>
    <row r="30" spans="2:13">
      <c r="B30" s="20" t="s">
        <v>32</v>
      </c>
      <c r="C30" s="10"/>
      <c r="D30" s="37">
        <f>+'2014'!S30</f>
        <v>10</v>
      </c>
      <c r="E30" s="54"/>
      <c r="F30" s="11">
        <f>+D30/F26</f>
        <v>2.5</v>
      </c>
      <c r="G30" s="33">
        <f>+'2015'!S30</f>
        <v>15</v>
      </c>
      <c r="H30" s="54"/>
      <c r="I30" s="11">
        <f>+G30/I26</f>
        <v>3.75</v>
      </c>
      <c r="J30" s="85">
        <f t="shared" si="5"/>
        <v>1.5</v>
      </c>
      <c r="K30" s="86">
        <f t="shared" si="6"/>
        <v>5</v>
      </c>
      <c r="L30" s="86">
        <f>+I30-F30</f>
        <v>1.25</v>
      </c>
      <c r="M30" s="64"/>
    </row>
    <row r="31" spans="2:13">
      <c r="B31" s="20" t="s">
        <v>33</v>
      </c>
      <c r="C31" s="10"/>
      <c r="D31" s="37">
        <f>+'2014'!S31</f>
        <v>0.35898999999999998</v>
      </c>
      <c r="E31" s="54"/>
      <c r="F31" s="11">
        <f>+D31/F26</f>
        <v>8.9747499999999994E-2</v>
      </c>
      <c r="G31" s="33">
        <f>+'2015'!S31</f>
        <v>0.47400999999999999</v>
      </c>
      <c r="H31" s="54"/>
      <c r="I31" s="11">
        <f>+G31/I26</f>
        <v>0.1185025</v>
      </c>
      <c r="J31" s="85">
        <f t="shared" si="5"/>
        <v>1.3203988969052063</v>
      </c>
      <c r="K31" s="86">
        <f t="shared" si="6"/>
        <v>0.11502000000000001</v>
      </c>
      <c r="L31" s="86">
        <f>+I31-F31</f>
        <v>2.8755000000000003E-2</v>
      </c>
      <c r="M31" s="64"/>
    </row>
    <row r="32" spans="2:13">
      <c r="B32" s="21" t="s">
        <v>34</v>
      </c>
      <c r="C32" s="10"/>
      <c r="D32" s="50">
        <f>+D31/D30*1000</f>
        <v>35.899000000000001</v>
      </c>
      <c r="E32" s="54"/>
      <c r="F32" s="54"/>
      <c r="G32" s="50">
        <f>+G31/G30*1000</f>
        <v>31.600666666666665</v>
      </c>
      <c r="H32" s="54"/>
      <c r="I32" s="54"/>
      <c r="J32" s="83">
        <f t="shared" si="5"/>
        <v>0.88026593127013741</v>
      </c>
      <c r="K32" s="84">
        <f t="shared" si="6"/>
        <v>-4.2983333333333356</v>
      </c>
      <c r="L32" s="64"/>
      <c r="M32" s="64"/>
    </row>
    <row r="33" spans="2:13">
      <c r="B33" s="21" t="s">
        <v>35</v>
      </c>
      <c r="C33" s="10"/>
      <c r="D33" s="52">
        <f>+D30/D27</f>
        <v>2.5</v>
      </c>
      <c r="E33" s="54"/>
      <c r="F33" s="54"/>
      <c r="G33" s="52">
        <f>+G30/G27</f>
        <v>2.5</v>
      </c>
      <c r="H33" s="54"/>
      <c r="I33" s="54"/>
      <c r="J33" s="83">
        <f t="shared" si="5"/>
        <v>1</v>
      </c>
      <c r="K33" s="84">
        <f t="shared" si="6"/>
        <v>0</v>
      </c>
      <c r="L33" s="64"/>
      <c r="M33" s="64"/>
    </row>
    <row r="34" spans="2:13">
      <c r="B34" s="10" t="s">
        <v>37</v>
      </c>
      <c r="D34" s="54">
        <f>+D31*1000/(D27*D32)*100</f>
        <v>249.99999999999994</v>
      </c>
      <c r="G34" s="54">
        <f>+G31*1000/(G27*G32)*100</f>
        <v>250</v>
      </c>
      <c r="J34" s="83">
        <f t="shared" si="5"/>
        <v>1.0000000000000002</v>
      </c>
      <c r="K34" s="84">
        <f t="shared" si="6"/>
        <v>0</v>
      </c>
      <c r="L34" s="64"/>
      <c r="M34" s="64"/>
    </row>
    <row r="35" spans="2:13">
      <c r="B35" s="21" t="s">
        <v>45</v>
      </c>
      <c r="D35" s="54">
        <f>+D31/D27*1000</f>
        <v>89.747499999999988</v>
      </c>
      <c r="G35" s="54">
        <f>+G31/G27*1000</f>
        <v>79.001666666666665</v>
      </c>
      <c r="J35" s="83">
        <f t="shared" ref="J35" si="7">+G35/D35</f>
        <v>0.88026593127013764</v>
      </c>
      <c r="K35" s="84">
        <f t="shared" ref="K35" si="8">+G35-D35</f>
        <v>-10.745833333333323</v>
      </c>
      <c r="L35" s="64"/>
      <c r="M35" s="64"/>
    </row>
    <row r="36" spans="2:13" ht="7.5" customHeight="1">
      <c r="B36" s="19"/>
      <c r="C36" s="44"/>
      <c r="D36" s="44"/>
      <c r="E36" s="44"/>
      <c r="F36" s="44"/>
      <c r="G36" s="45"/>
      <c r="H36" s="44"/>
      <c r="I36" s="44"/>
      <c r="J36" s="88"/>
      <c r="K36" s="64"/>
      <c r="L36" s="64"/>
      <c r="M36" s="64"/>
    </row>
    <row r="37" spans="2:13">
      <c r="B37" s="23" t="s">
        <v>38</v>
      </c>
      <c r="C37" s="46"/>
      <c r="D37" s="24">
        <f>+D8/(1-D6/D5)</f>
        <v>754.31612254129334</v>
      </c>
      <c r="E37" s="44"/>
      <c r="F37" s="44"/>
      <c r="G37" s="24">
        <f>+G8/(1-G6/G5)</f>
        <v>883.61690401813723</v>
      </c>
      <c r="H37" s="44"/>
      <c r="I37" s="44"/>
      <c r="J37" s="43">
        <f>+G37/D37</f>
        <v>1.171414580191166</v>
      </c>
      <c r="K37" s="24">
        <f>+G37-D37</f>
        <v>129.30078147684389</v>
      </c>
      <c r="L37" s="64"/>
      <c r="M37" s="64"/>
    </row>
    <row r="38" spans="2:13">
      <c r="G38" s="13"/>
    </row>
    <row r="39" spans="2:13">
      <c r="G39" s="13"/>
    </row>
    <row r="40" spans="2:13">
      <c r="G40" s="13"/>
    </row>
    <row r="41" spans="2:13">
      <c r="G41" s="13"/>
    </row>
    <row r="42" spans="2:13">
      <c r="G42" s="13"/>
    </row>
    <row r="43" spans="2:13">
      <c r="G43" s="13"/>
    </row>
    <row r="44" spans="2:13">
      <c r="G44" s="13"/>
    </row>
    <row r="45" spans="2:13">
      <c r="G45" s="13"/>
    </row>
    <row r="46" spans="2:13">
      <c r="G46" s="13"/>
    </row>
    <row r="47" spans="2:13">
      <c r="G47" s="13"/>
    </row>
    <row r="48" spans="2:13">
      <c r="G48" s="13"/>
    </row>
    <row r="49" spans="7:7">
      <c r="G49" s="13"/>
    </row>
    <row r="50" spans="7:7">
      <c r="G50" s="13"/>
    </row>
    <row r="51" spans="7:7">
      <c r="G51" s="13"/>
    </row>
    <row r="52" spans="7:7">
      <c r="G52" s="13"/>
    </row>
    <row r="53" spans="7:7">
      <c r="G53" s="13"/>
    </row>
    <row r="54" spans="7:7">
      <c r="G54" s="13"/>
    </row>
    <row r="55" spans="7:7">
      <c r="G55" s="13"/>
    </row>
    <row r="56" spans="7:7">
      <c r="G56" s="13"/>
    </row>
    <row r="57" spans="7:7">
      <c r="G57" s="13"/>
    </row>
    <row r="58" spans="7:7">
      <c r="G58" s="13"/>
    </row>
    <row r="59" spans="7:7">
      <c r="G59" s="13"/>
    </row>
    <row r="60" spans="7:7">
      <c r="G60" s="13"/>
    </row>
    <row r="61" spans="7:7">
      <c r="G61" s="13"/>
    </row>
    <row r="62" spans="7:7">
      <c r="G62" s="13"/>
    </row>
    <row r="63" spans="7:7">
      <c r="G63" s="13"/>
    </row>
    <row r="64" spans="7:7">
      <c r="G64" s="13"/>
    </row>
    <row r="65" spans="7:7">
      <c r="G65" s="13"/>
    </row>
    <row r="66" spans="7:7">
      <c r="G66" s="13"/>
    </row>
    <row r="67" spans="7:7">
      <c r="G67" s="13"/>
    </row>
    <row r="68" spans="7:7">
      <c r="G68" s="13"/>
    </row>
    <row r="69" spans="7:7">
      <c r="G69" s="13"/>
    </row>
    <row r="70" spans="7:7">
      <c r="G70" s="13"/>
    </row>
    <row r="71" spans="7:7">
      <c r="G71" s="13"/>
    </row>
    <row r="72" spans="7:7">
      <c r="G72" s="13"/>
    </row>
    <row r="73" spans="7:7">
      <c r="G73" s="13"/>
    </row>
    <row r="74" spans="7:7">
      <c r="G74" s="13"/>
    </row>
    <row r="75" spans="7:7">
      <c r="G75" s="13"/>
    </row>
    <row r="76" spans="7:7">
      <c r="G76" s="13"/>
    </row>
    <row r="77" spans="7:7">
      <c r="G77" s="13"/>
    </row>
    <row r="78" spans="7:7">
      <c r="G78" s="13"/>
    </row>
    <row r="79" spans="7:7">
      <c r="G79" s="13"/>
    </row>
    <row r="80" spans="7:7">
      <c r="G80" s="13"/>
    </row>
    <row r="81" spans="7:7">
      <c r="G81" s="13"/>
    </row>
    <row r="82" spans="7:7">
      <c r="G82" s="13"/>
    </row>
    <row r="83" spans="7:7">
      <c r="G83" s="13"/>
    </row>
    <row r="84" spans="7:7">
      <c r="G84" s="13"/>
    </row>
    <row r="85" spans="7:7">
      <c r="G85" s="13"/>
    </row>
    <row r="86" spans="7:7">
      <c r="G86" s="13"/>
    </row>
    <row r="87" spans="7:7">
      <c r="G87" s="13"/>
    </row>
    <row r="88" spans="7:7">
      <c r="G88" s="13"/>
    </row>
    <row r="89" spans="7:7">
      <c r="G89" s="13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89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S1" sqref="S1"/>
    </sheetView>
  </sheetViews>
  <sheetFormatPr defaultRowHeight="15"/>
  <cols>
    <col min="1" max="1" width="1.7109375" customWidth="1"/>
    <col min="2" max="2" width="26.1406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  <c r="Z1" s="57"/>
      <c r="AA1" s="57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</row>
    <row r="2" spans="2:47">
      <c r="B2" s="47" t="s">
        <v>25</v>
      </c>
      <c r="C2" s="56"/>
      <c r="D2" s="3" t="s">
        <v>2</v>
      </c>
      <c r="E2" s="58" t="s">
        <v>18</v>
      </c>
      <c r="F2" s="58" t="s">
        <v>42</v>
      </c>
      <c r="G2" s="3" t="s">
        <v>2</v>
      </c>
      <c r="H2" s="58" t="s">
        <v>18</v>
      </c>
      <c r="I2" s="58" t="s">
        <v>42</v>
      </c>
      <c r="J2" s="3" t="s">
        <v>2</v>
      </c>
      <c r="K2" s="58" t="s">
        <v>18</v>
      </c>
      <c r="L2" s="58" t="s">
        <v>42</v>
      </c>
      <c r="M2" s="3" t="s">
        <v>2</v>
      </c>
      <c r="N2" s="58" t="s">
        <v>18</v>
      </c>
      <c r="O2" s="58" t="s">
        <v>42</v>
      </c>
      <c r="P2" s="3" t="s">
        <v>2</v>
      </c>
      <c r="Q2" s="58" t="s">
        <v>18</v>
      </c>
      <c r="R2" s="58" t="s">
        <v>42</v>
      </c>
      <c r="S2" s="3" t="s">
        <v>2</v>
      </c>
      <c r="T2" s="58" t="s">
        <v>18</v>
      </c>
      <c r="U2" s="58" t="s">
        <v>42</v>
      </c>
      <c r="V2" s="3" t="s">
        <v>2</v>
      </c>
      <c r="W2" s="58" t="s">
        <v>18</v>
      </c>
      <c r="X2" s="58" t="s">
        <v>42</v>
      </c>
      <c r="Y2" s="3" t="s">
        <v>2</v>
      </c>
      <c r="Z2" s="68" t="s">
        <v>18</v>
      </c>
      <c r="AA2" s="58" t="s">
        <v>42</v>
      </c>
      <c r="AB2" s="3" t="s">
        <v>2</v>
      </c>
      <c r="AC2" s="58" t="s">
        <v>8</v>
      </c>
      <c r="AD2" s="58" t="s">
        <v>42</v>
      </c>
      <c r="AE2" s="3" t="s">
        <v>2</v>
      </c>
      <c r="AF2" s="58" t="s">
        <v>8</v>
      </c>
      <c r="AG2" s="58" t="s">
        <v>42</v>
      </c>
      <c r="AH2" s="3" t="s">
        <v>2</v>
      </c>
      <c r="AI2" s="58" t="s">
        <v>8</v>
      </c>
      <c r="AJ2" s="58" t="s">
        <v>42</v>
      </c>
      <c r="AK2" s="3" t="s">
        <v>2</v>
      </c>
      <c r="AL2" s="58" t="s">
        <v>8</v>
      </c>
      <c r="AM2" s="58" t="s">
        <v>42</v>
      </c>
      <c r="AN2" s="56"/>
      <c r="AO2" s="56"/>
      <c r="AP2" s="3" t="s">
        <v>2</v>
      </c>
      <c r="AQ2" s="58" t="s">
        <v>18</v>
      </c>
      <c r="AR2" s="58" t="s">
        <v>42</v>
      </c>
      <c r="AS2" s="48" t="s">
        <v>11</v>
      </c>
      <c r="AT2" s="56"/>
      <c r="AU2" s="58" t="s">
        <v>42</v>
      </c>
    </row>
    <row r="3" spans="2:47">
      <c r="B3" s="48" t="s">
        <v>1</v>
      </c>
      <c r="C3" s="56"/>
      <c r="D3" s="4" t="s">
        <v>60</v>
      </c>
      <c r="E3" s="26" t="s">
        <v>19</v>
      </c>
      <c r="F3" s="3" t="s">
        <v>43</v>
      </c>
      <c r="G3" s="4" t="s">
        <v>61</v>
      </c>
      <c r="H3" s="26" t="s">
        <v>19</v>
      </c>
      <c r="I3" s="3" t="s">
        <v>43</v>
      </c>
      <c r="J3" s="4" t="s">
        <v>62</v>
      </c>
      <c r="K3" s="26" t="s">
        <v>19</v>
      </c>
      <c r="L3" s="3" t="s">
        <v>43</v>
      </c>
      <c r="M3" s="4" t="s">
        <v>63</v>
      </c>
      <c r="N3" s="26" t="s">
        <v>19</v>
      </c>
      <c r="O3" s="3" t="s">
        <v>43</v>
      </c>
      <c r="P3" s="4" t="s">
        <v>64</v>
      </c>
      <c r="Q3" s="26" t="s">
        <v>19</v>
      </c>
      <c r="R3" s="3" t="s">
        <v>43</v>
      </c>
      <c r="S3" s="4" t="s">
        <v>65</v>
      </c>
      <c r="T3" s="26" t="s">
        <v>19</v>
      </c>
      <c r="U3" s="3" t="s">
        <v>43</v>
      </c>
      <c r="V3" s="4" t="s">
        <v>66</v>
      </c>
      <c r="W3" s="26" t="s">
        <v>19</v>
      </c>
      <c r="X3" s="3" t="s">
        <v>43</v>
      </c>
      <c r="Y3" s="4" t="s">
        <v>67</v>
      </c>
      <c r="Z3" s="69" t="s">
        <v>19</v>
      </c>
      <c r="AA3" s="3" t="s">
        <v>43</v>
      </c>
      <c r="AB3" s="4" t="s">
        <v>68</v>
      </c>
      <c r="AC3" s="59" t="s">
        <v>10</v>
      </c>
      <c r="AD3" s="3" t="s">
        <v>43</v>
      </c>
      <c r="AE3" s="4" t="s">
        <v>69</v>
      </c>
      <c r="AF3" s="59" t="s">
        <v>10</v>
      </c>
      <c r="AG3" s="3" t="s">
        <v>43</v>
      </c>
      <c r="AH3" s="4" t="s">
        <v>70</v>
      </c>
      <c r="AI3" s="59" t="s">
        <v>10</v>
      </c>
      <c r="AJ3" s="3" t="s">
        <v>43</v>
      </c>
      <c r="AK3" s="4" t="s">
        <v>7</v>
      </c>
      <c r="AL3" s="59" t="s">
        <v>10</v>
      </c>
      <c r="AM3" s="3" t="s">
        <v>43</v>
      </c>
      <c r="AN3" s="56"/>
      <c r="AO3" s="56"/>
      <c r="AP3" s="4" t="s">
        <v>9</v>
      </c>
      <c r="AQ3" s="26" t="s">
        <v>19</v>
      </c>
      <c r="AR3" s="3" t="s">
        <v>43</v>
      </c>
      <c r="AS3" s="48" t="s">
        <v>24</v>
      </c>
      <c r="AT3" s="26" t="s">
        <v>19</v>
      </c>
      <c r="AU3" s="3" t="s">
        <v>43</v>
      </c>
    </row>
    <row r="4" spans="2:47">
      <c r="B4" s="49">
        <v>9404</v>
      </c>
      <c r="C4" s="56"/>
      <c r="D4" s="56"/>
      <c r="E4" s="3" t="s">
        <v>21</v>
      </c>
      <c r="F4" s="3">
        <v>14</v>
      </c>
      <c r="G4" s="56"/>
      <c r="H4" s="3" t="s">
        <v>21</v>
      </c>
      <c r="I4" s="3">
        <v>14</v>
      </c>
      <c r="J4" s="56"/>
      <c r="K4" s="3" t="s">
        <v>21</v>
      </c>
      <c r="L4" s="3">
        <v>14</v>
      </c>
      <c r="M4" s="56"/>
      <c r="N4" s="3" t="s">
        <v>21</v>
      </c>
      <c r="O4" s="3">
        <v>14</v>
      </c>
      <c r="P4" s="56"/>
      <c r="Q4" s="3" t="s">
        <v>21</v>
      </c>
      <c r="R4" s="3">
        <v>14</v>
      </c>
      <c r="S4" s="56"/>
      <c r="T4" s="3" t="s">
        <v>21</v>
      </c>
      <c r="U4" s="3">
        <v>14</v>
      </c>
      <c r="V4" s="56"/>
      <c r="W4" s="3" t="s">
        <v>21</v>
      </c>
      <c r="X4" s="3">
        <v>0</v>
      </c>
      <c r="Y4" s="56"/>
      <c r="Z4" s="39" t="s">
        <v>21</v>
      </c>
      <c r="AA4" s="3">
        <v>0</v>
      </c>
      <c r="AB4" s="56"/>
      <c r="AC4" s="56"/>
      <c r="AD4" s="3">
        <v>0</v>
      </c>
      <c r="AE4" s="56"/>
      <c r="AF4" s="56"/>
      <c r="AG4" s="48">
        <v>0</v>
      </c>
      <c r="AH4" s="56"/>
      <c r="AI4" s="56"/>
      <c r="AJ4" s="48">
        <v>0</v>
      </c>
      <c r="AK4" s="56"/>
      <c r="AL4" s="56"/>
      <c r="AM4" s="99">
        <v>0</v>
      </c>
      <c r="AN4" s="56"/>
      <c r="AO4" s="56"/>
      <c r="AP4" s="56"/>
      <c r="AQ4" s="3" t="s">
        <v>21</v>
      </c>
      <c r="AR4" s="3">
        <f>+(+AD4+AG4+AJ4+AM4+AA4+X4+U4+R4+O4+L4+I4+F4)/AS4</f>
        <v>14</v>
      </c>
      <c r="AS4" s="48">
        <v>6</v>
      </c>
      <c r="AT4" s="3" t="s">
        <v>21</v>
      </c>
      <c r="AU4" s="3">
        <f>+AR4</f>
        <v>14</v>
      </c>
    </row>
    <row r="5" spans="2:47">
      <c r="B5" s="10" t="s">
        <v>3</v>
      </c>
      <c r="C5" s="19"/>
      <c r="D5" s="9">
        <f>21.51517+790.938</f>
        <v>812.45317</v>
      </c>
      <c r="E5" s="61">
        <f>+D5/D5</f>
        <v>1</v>
      </c>
      <c r="F5" s="93">
        <f>+D5/F4</f>
        <v>58.032369285714289</v>
      </c>
      <c r="G5" s="9">
        <f>18.45+729.415</f>
        <v>747.86500000000001</v>
      </c>
      <c r="H5" s="61">
        <f>+G5/G5</f>
        <v>1</v>
      </c>
      <c r="I5" s="93">
        <f>+G5/I4</f>
        <v>53.418928571428573</v>
      </c>
      <c r="J5" s="9">
        <f>58.965+796.101</f>
        <v>855.06600000000003</v>
      </c>
      <c r="K5" s="61">
        <f>+J5/J5</f>
        <v>1</v>
      </c>
      <c r="L5" s="93">
        <f>+J5/L4</f>
        <v>61.076142857142862</v>
      </c>
      <c r="M5" s="9">
        <f>17.965+789.821</f>
        <v>807.78600000000006</v>
      </c>
      <c r="N5" s="61">
        <f>+M5/M5</f>
        <v>1</v>
      </c>
      <c r="O5" s="93">
        <f>+M5/O4</f>
        <v>57.699000000000005</v>
      </c>
      <c r="P5" s="9">
        <f>18.14725+780.893</f>
        <v>799.04025000000001</v>
      </c>
      <c r="Q5" s="61">
        <f>+P5/P5</f>
        <v>1</v>
      </c>
      <c r="R5" s="93">
        <f>+P5/R4</f>
        <v>57.074303571428572</v>
      </c>
      <c r="S5" s="9">
        <f>31.067+674.389</f>
        <v>705.45600000000002</v>
      </c>
      <c r="T5" s="61">
        <f>+S5/S5</f>
        <v>1</v>
      </c>
      <c r="U5" s="93">
        <f>+S5/U4</f>
        <v>50.389714285714284</v>
      </c>
      <c r="V5" s="9">
        <v>0</v>
      </c>
      <c r="W5" s="61" t="e">
        <f>+V5/V5</f>
        <v>#DIV/0!</v>
      </c>
      <c r="X5" s="93" t="e">
        <f>+V5/X4</f>
        <v>#DIV/0!</v>
      </c>
      <c r="Y5" s="9">
        <v>0</v>
      </c>
      <c r="Z5" s="71" t="e">
        <f>+Y5/Y5</f>
        <v>#DIV/0!</v>
      </c>
      <c r="AA5" s="93" t="e">
        <f>+Y5/AA4</f>
        <v>#DIV/0!</v>
      </c>
      <c r="AB5" s="9">
        <v>0</v>
      </c>
      <c r="AC5" s="61" t="e">
        <f>+AB5/$AB$5</f>
        <v>#DIV/0!</v>
      </c>
      <c r="AD5" s="93" t="e">
        <f>+AB5/AD4</f>
        <v>#DIV/0!</v>
      </c>
      <c r="AE5" s="9">
        <v>0</v>
      </c>
      <c r="AF5" s="61" t="e">
        <f>+AE5/$AE$5</f>
        <v>#DIV/0!</v>
      </c>
      <c r="AG5" s="93" t="e">
        <f>+AE5/AG4</f>
        <v>#DIV/0!</v>
      </c>
      <c r="AH5" s="9">
        <v>0</v>
      </c>
      <c r="AI5" s="61" t="e">
        <f>+AH5/$AH$5</f>
        <v>#DIV/0!</v>
      </c>
      <c r="AJ5" s="93" t="e">
        <f>+AH5/AJ4</f>
        <v>#DIV/0!</v>
      </c>
      <c r="AK5" s="9">
        <v>0</v>
      </c>
      <c r="AL5" s="61" t="e">
        <f>+AK5/$AK$5</f>
        <v>#DIV/0!</v>
      </c>
      <c r="AM5" s="93" t="e">
        <f>+AK5/AM4</f>
        <v>#DIV/0!</v>
      </c>
      <c r="AN5" s="19"/>
      <c r="AO5" s="19"/>
      <c r="AP5" s="35">
        <f>+V5+AB5+AE5+AH5+AK5+Y5+S5+P5+M5+J5+G5+D5</f>
        <v>4727.6664199999996</v>
      </c>
      <c r="AQ5" s="71">
        <f>+AP5/$AP$5</f>
        <v>1</v>
      </c>
      <c r="AR5" s="93">
        <f>+AP5/AR4</f>
        <v>337.69045857142856</v>
      </c>
      <c r="AS5" s="35">
        <f>+AP5/$AS$4</f>
        <v>787.9444033333333</v>
      </c>
      <c r="AT5" s="64"/>
      <c r="AU5" s="93">
        <f>+AS5/AU4</f>
        <v>56.281743095238092</v>
      </c>
    </row>
    <row r="6" spans="2:47">
      <c r="B6" s="7" t="s">
        <v>4</v>
      </c>
      <c r="C6" s="19"/>
      <c r="D6" s="11">
        <f>8.53887+55.44289+0.761+0.18552</f>
        <v>64.928279999999987</v>
      </c>
      <c r="E6" s="62">
        <f>+D6/D5</f>
        <v>7.9916335362443094E-2</v>
      </c>
      <c r="F6" s="94">
        <f>+D6/F4</f>
        <v>4.6377342857142851</v>
      </c>
      <c r="G6" s="11">
        <f>4.1+52.316+3.34+8.996</f>
        <v>68.751999999999995</v>
      </c>
      <c r="H6" s="62">
        <f>+G6/G5</f>
        <v>9.1931030333014641E-2</v>
      </c>
      <c r="I6" s="94">
        <f>+G6/I4</f>
        <v>4.9108571428571421</v>
      </c>
      <c r="J6" s="11">
        <f>5.4124+55.6818+0.96544+71.53</f>
        <v>133.58964</v>
      </c>
      <c r="K6" s="62">
        <f>+J6/J5</f>
        <v>0.1562331328809706</v>
      </c>
      <c r="L6" s="94">
        <f>+J6/L4</f>
        <v>9.5421171428571423</v>
      </c>
      <c r="M6" s="11">
        <f>3.5257+52.62+40.009</f>
        <v>96.154699999999991</v>
      </c>
      <c r="N6" s="62">
        <f>+M6/M5</f>
        <v>0.11903486814577126</v>
      </c>
      <c r="O6" s="94">
        <f>+M6/O4</f>
        <v>6.8681928571428568</v>
      </c>
      <c r="P6" s="11">
        <f>4.1752+52.8475+51.6586</f>
        <v>108.68129999999999</v>
      </c>
      <c r="Q6" s="62">
        <f>+P6/P5</f>
        <v>0.13601480025568172</v>
      </c>
      <c r="R6" s="94">
        <f>+P6/R4</f>
        <v>7.7629499999999991</v>
      </c>
      <c r="S6" s="11">
        <f>3.913+53.2207+20.59687+78.608</f>
        <v>156.33857</v>
      </c>
      <c r="T6" s="62">
        <f>+S6/S5</f>
        <v>0.22161349538454561</v>
      </c>
      <c r="U6" s="94">
        <f>+S6/U4</f>
        <v>11.167040714285715</v>
      </c>
      <c r="V6" s="11">
        <v>0</v>
      </c>
      <c r="W6" s="62" t="e">
        <f>+V6/V5</f>
        <v>#DIV/0!</v>
      </c>
      <c r="X6" s="94" t="e">
        <f>+V6/X4</f>
        <v>#DIV/0!</v>
      </c>
      <c r="Y6" s="11">
        <v>0</v>
      </c>
      <c r="Z6" s="72" t="e">
        <f>+Y6/Y5</f>
        <v>#DIV/0!</v>
      </c>
      <c r="AA6" s="94" t="e">
        <f>+Y6/AA4</f>
        <v>#DIV/0!</v>
      </c>
      <c r="AB6" s="11">
        <v>0</v>
      </c>
      <c r="AC6" s="62" t="e">
        <f>+AB6/$AB$5</f>
        <v>#DIV/0!</v>
      </c>
      <c r="AD6" s="94" t="e">
        <f>+AB6/AD4</f>
        <v>#DIV/0!</v>
      </c>
      <c r="AE6" s="11">
        <v>0</v>
      </c>
      <c r="AF6" s="62" t="e">
        <f>+AE6/$AE$5</f>
        <v>#DIV/0!</v>
      </c>
      <c r="AG6" s="94" t="e">
        <f>+AE6/AG4</f>
        <v>#DIV/0!</v>
      </c>
      <c r="AH6" s="11">
        <v>0</v>
      </c>
      <c r="AI6" s="62" t="e">
        <f>+AH6/$AH$5</f>
        <v>#DIV/0!</v>
      </c>
      <c r="AJ6" s="94" t="e">
        <f>+AH6/AJ4</f>
        <v>#DIV/0!</v>
      </c>
      <c r="AK6" s="11">
        <v>0</v>
      </c>
      <c r="AL6" s="62" t="e">
        <f>+AK6/$AK$5</f>
        <v>#DIV/0!</v>
      </c>
      <c r="AM6" s="94" t="e">
        <f>+AK6/AM4</f>
        <v>#DIV/0!</v>
      </c>
      <c r="AN6" s="19"/>
      <c r="AO6" s="19"/>
      <c r="AP6" s="27">
        <f>+V6+AB6+AE6+AH6+AK6+Y6+S6+P6+M6+J6+G6+D6</f>
        <v>628.44448999999986</v>
      </c>
      <c r="AQ6" s="72">
        <f>+AP6/$AP$5</f>
        <v>0.13292911008725525</v>
      </c>
      <c r="AR6" s="94">
        <f>+AP6/AR4</f>
        <v>44.888892142857131</v>
      </c>
      <c r="AS6" s="16">
        <f t="shared" ref="AS6:AS9" si="0">+AP6/$AS$4</f>
        <v>104.74074833333331</v>
      </c>
      <c r="AT6" s="64"/>
      <c r="AU6" s="94">
        <f>+AS6/AU4</f>
        <v>7.4814820238095221</v>
      </c>
    </row>
    <row r="7" spans="2:47">
      <c r="B7" s="10" t="s">
        <v>6</v>
      </c>
      <c r="C7" s="19"/>
      <c r="D7" s="8">
        <f>+D5-D6</f>
        <v>747.52489000000003</v>
      </c>
      <c r="E7" s="63">
        <f>+D7/D5</f>
        <v>0.92008366463755697</v>
      </c>
      <c r="F7" s="82">
        <f>+F5-F6</f>
        <v>53.394635000000001</v>
      </c>
      <c r="G7" s="8">
        <f>+G5-G6</f>
        <v>679.11300000000006</v>
      </c>
      <c r="H7" s="63">
        <f>+G7/G5</f>
        <v>0.90806896966698547</v>
      </c>
      <c r="I7" s="82">
        <f>+I5-I6</f>
        <v>48.508071428571434</v>
      </c>
      <c r="J7" s="8">
        <f>+J5-J6</f>
        <v>721.47636</v>
      </c>
      <c r="K7" s="63">
        <f>+J7/J5</f>
        <v>0.84376686711902937</v>
      </c>
      <c r="L7" s="82">
        <f>+L5-L6</f>
        <v>51.534025714285718</v>
      </c>
      <c r="M7" s="8">
        <f>+M5-M6</f>
        <v>711.63130000000001</v>
      </c>
      <c r="N7" s="63">
        <f>+M7/M5</f>
        <v>0.88096513185422864</v>
      </c>
      <c r="O7" s="82">
        <f>+O5-O6</f>
        <v>50.830807142857147</v>
      </c>
      <c r="P7" s="8">
        <f>+P5-P6</f>
        <v>690.35895000000005</v>
      </c>
      <c r="Q7" s="63">
        <f>+P7/P5</f>
        <v>0.86398519974431831</v>
      </c>
      <c r="R7" s="82">
        <f>+R5-R6</f>
        <v>49.311353571428576</v>
      </c>
      <c r="S7" s="8">
        <f>+S5-S6</f>
        <v>549.11743000000001</v>
      </c>
      <c r="T7" s="63">
        <f>+S7/S5</f>
        <v>0.77838650461545444</v>
      </c>
      <c r="U7" s="82">
        <f>+U5-U6</f>
        <v>39.222673571428572</v>
      </c>
      <c r="V7" s="8">
        <f>+V5-V6</f>
        <v>0</v>
      </c>
      <c r="W7" s="63" t="e">
        <f>+V7/V5</f>
        <v>#DIV/0!</v>
      </c>
      <c r="X7" s="82" t="e">
        <f>+X5-X6</f>
        <v>#DIV/0!</v>
      </c>
      <c r="Y7" s="8">
        <f>+Y5-Y6</f>
        <v>0</v>
      </c>
      <c r="Z7" s="72" t="e">
        <f>+Y7/Y5</f>
        <v>#DIV/0!</v>
      </c>
      <c r="AA7" s="82" t="e">
        <f>+AA5-AA6</f>
        <v>#DIV/0!</v>
      </c>
      <c r="AB7" s="8">
        <f>+AB5-AB6</f>
        <v>0</v>
      </c>
      <c r="AC7" s="63" t="e">
        <f>+AB7/$AB$5</f>
        <v>#DIV/0!</v>
      </c>
      <c r="AD7" s="82" t="e">
        <f>+AD5-AD6</f>
        <v>#DIV/0!</v>
      </c>
      <c r="AE7" s="8">
        <f>+AE5-AE6</f>
        <v>0</v>
      </c>
      <c r="AF7" s="63" t="e">
        <f>+AE7/$AE$5</f>
        <v>#DIV/0!</v>
      </c>
      <c r="AG7" s="82" t="e">
        <f>+AG5-AG6</f>
        <v>#DIV/0!</v>
      </c>
      <c r="AH7" s="8">
        <f>+AH5-AH6</f>
        <v>0</v>
      </c>
      <c r="AI7" s="63" t="e">
        <f>+AH7/$AH$5</f>
        <v>#DIV/0!</v>
      </c>
      <c r="AJ7" s="82" t="e">
        <f>+AJ5-AJ6</f>
        <v>#DIV/0!</v>
      </c>
      <c r="AK7" s="8">
        <f>+AK5-AK6</f>
        <v>0</v>
      </c>
      <c r="AL7" s="63" t="e">
        <f>+AK7/$AK$5</f>
        <v>#DIV/0!</v>
      </c>
      <c r="AM7" s="82" t="e">
        <f>+AM5-AM6</f>
        <v>#DIV/0!</v>
      </c>
      <c r="AN7" s="19"/>
      <c r="AO7" s="19"/>
      <c r="AP7" s="35">
        <f>+V7+AB7+AE7+AH7+AK7+Y7+S7+P7+M7+J7+G7+D7</f>
        <v>4099.2219299999997</v>
      </c>
      <c r="AQ7" s="72">
        <f>+AP7/$AP$5</f>
        <v>0.86707088991274472</v>
      </c>
      <c r="AR7" s="82">
        <f>+AR5-AR6</f>
        <v>292.80156642857145</v>
      </c>
      <c r="AS7" s="14">
        <f t="shared" si="0"/>
        <v>683.20365499999991</v>
      </c>
      <c r="AT7" s="64"/>
      <c r="AU7" s="82">
        <f>+AU5-AU6</f>
        <v>48.800261071428572</v>
      </c>
    </row>
    <row r="8" spans="2:47">
      <c r="B8" s="7" t="s">
        <v>5</v>
      </c>
      <c r="C8" s="19"/>
      <c r="D8" s="11">
        <v>686.08399999999995</v>
      </c>
      <c r="E8" s="62">
        <f>+D8/D5</f>
        <v>0.84445974898467069</v>
      </c>
      <c r="F8" s="94">
        <f>+D8/F4</f>
        <v>49.005999999999993</v>
      </c>
      <c r="G8" s="11">
        <v>617.68520999999998</v>
      </c>
      <c r="H8" s="62">
        <f>+G8/G5</f>
        <v>0.82593143147493198</v>
      </c>
      <c r="I8" s="94">
        <f>+G8/I4</f>
        <v>44.120372142857143</v>
      </c>
      <c r="J8" s="11">
        <v>645.53200000000004</v>
      </c>
      <c r="K8" s="62">
        <f>+J8/J5</f>
        <v>0.7549499102993219</v>
      </c>
      <c r="L8" s="94">
        <f>+J8/L4</f>
        <v>46.109428571428573</v>
      </c>
      <c r="M8" s="11">
        <v>775.29044999999996</v>
      </c>
      <c r="N8" s="62">
        <f>+M8/M5</f>
        <v>0.95977208072435016</v>
      </c>
      <c r="O8" s="94">
        <f>+M8/O4</f>
        <v>55.377889285714282</v>
      </c>
      <c r="P8" s="11">
        <v>656.19884000000002</v>
      </c>
      <c r="Q8" s="62">
        <f>+P8/P5</f>
        <v>0.82123377389311736</v>
      </c>
      <c r="R8" s="94">
        <f>+P8/R4</f>
        <v>46.871345714285717</v>
      </c>
      <c r="S8" s="11">
        <v>587.14949000000001</v>
      </c>
      <c r="T8" s="62">
        <f>+S8/S5</f>
        <v>0.83229781871583774</v>
      </c>
      <c r="U8" s="94">
        <f>+S8/U4</f>
        <v>41.93924928571429</v>
      </c>
      <c r="V8" s="11">
        <v>0</v>
      </c>
      <c r="W8" s="62" t="e">
        <f>+V8/V5</f>
        <v>#DIV/0!</v>
      </c>
      <c r="X8" s="94" t="e">
        <f>+V8/X4</f>
        <v>#DIV/0!</v>
      </c>
      <c r="Y8" s="11">
        <v>0</v>
      </c>
      <c r="Z8" s="72" t="e">
        <f>+Y8/Y5</f>
        <v>#DIV/0!</v>
      </c>
      <c r="AA8" s="94" t="e">
        <f>+Y8/AA4</f>
        <v>#DIV/0!</v>
      </c>
      <c r="AB8" s="11">
        <v>0</v>
      </c>
      <c r="AC8" s="62" t="e">
        <f>+AB8/$AB$5</f>
        <v>#DIV/0!</v>
      </c>
      <c r="AD8" s="94" t="e">
        <f>+AB8/AD4</f>
        <v>#DIV/0!</v>
      </c>
      <c r="AE8" s="11">
        <v>0</v>
      </c>
      <c r="AF8" s="62" t="e">
        <f>+AE8/$AE$5</f>
        <v>#DIV/0!</v>
      </c>
      <c r="AG8" s="94" t="e">
        <f>+AE8/AG4</f>
        <v>#DIV/0!</v>
      </c>
      <c r="AH8" s="11">
        <v>0</v>
      </c>
      <c r="AI8" s="62" t="e">
        <f>+AH8/$AH$5</f>
        <v>#DIV/0!</v>
      </c>
      <c r="AJ8" s="94" t="e">
        <f>+AH8/AJ4</f>
        <v>#DIV/0!</v>
      </c>
      <c r="AK8" s="11">
        <v>0</v>
      </c>
      <c r="AL8" s="62" t="e">
        <f>+AK8/$AK$5</f>
        <v>#DIV/0!</v>
      </c>
      <c r="AM8" s="94" t="e">
        <f>+AK8/AM4</f>
        <v>#DIV/0!</v>
      </c>
      <c r="AN8" s="19"/>
      <c r="AO8" s="19"/>
      <c r="AP8" s="27">
        <f>+V8+AB8+AE8+AH8+AK8+Y8+S8+P8+M8+J8+G8+D8</f>
        <v>3967.9399899999999</v>
      </c>
      <c r="AQ8" s="72">
        <f>+AP8/$AP$5</f>
        <v>0.83930202292064426</v>
      </c>
      <c r="AR8" s="94">
        <f>+AP8/AR4</f>
        <v>283.424285</v>
      </c>
      <c r="AS8" s="16">
        <f t="shared" si="0"/>
        <v>661.3233316666666</v>
      </c>
      <c r="AT8" s="64"/>
      <c r="AU8" s="94">
        <f>+AS8/AU4</f>
        <v>47.237380833333326</v>
      </c>
    </row>
    <row r="9" spans="2:47">
      <c r="B9" s="21" t="s">
        <v>12</v>
      </c>
      <c r="C9" s="19"/>
      <c r="D9" s="18">
        <f>+D5-D6-D8</f>
        <v>61.440890000000081</v>
      </c>
      <c r="E9" s="61">
        <f>+D9/D5</f>
        <v>7.5623915652886287E-2</v>
      </c>
      <c r="F9" s="18">
        <f>+F5-F6-F8</f>
        <v>4.3886350000000078</v>
      </c>
      <c r="G9" s="18">
        <f>+G5-G6-G8</f>
        <v>61.427790000000073</v>
      </c>
      <c r="H9" s="61">
        <f>+G9/G5</f>
        <v>8.213753819205348E-2</v>
      </c>
      <c r="I9" s="18">
        <f>+I5-I6-I8</f>
        <v>4.3876992857142909</v>
      </c>
      <c r="J9" s="18">
        <f>+J5-J6-J8</f>
        <v>75.944359999999961</v>
      </c>
      <c r="K9" s="61">
        <f>+J9/J5</f>
        <v>8.8816956819707429E-2</v>
      </c>
      <c r="L9" s="18">
        <f>+L5-L6-L8</f>
        <v>5.4245971428571451</v>
      </c>
      <c r="M9" s="18">
        <f>+M5-M6-M8</f>
        <v>-63.659149999999954</v>
      </c>
      <c r="N9" s="61">
        <f>+M9/M5</f>
        <v>-7.8806948870121477E-2</v>
      </c>
      <c r="O9" s="18">
        <f>+O5-O6-O8</f>
        <v>-4.5470821428571355</v>
      </c>
      <c r="P9" s="18">
        <f>+P5-P6-P8</f>
        <v>34.160110000000032</v>
      </c>
      <c r="Q9" s="61">
        <f>+P9/P5</f>
        <v>4.2751425851200904E-2</v>
      </c>
      <c r="R9" s="18">
        <f>+R5-R6-R8</f>
        <v>2.4400078571428594</v>
      </c>
      <c r="S9" s="18">
        <f>+S5-S6-S8</f>
        <v>-38.032060000000001</v>
      </c>
      <c r="T9" s="61">
        <f>+S9/S5</f>
        <v>-5.3911314100383301E-2</v>
      </c>
      <c r="U9" s="18">
        <f>+U5-U6-U8</f>
        <v>-2.7165757142857174</v>
      </c>
      <c r="V9" s="18">
        <f>+V5-V6-V8</f>
        <v>0</v>
      </c>
      <c r="W9" s="61" t="e">
        <f>+V9/V5</f>
        <v>#DIV/0!</v>
      </c>
      <c r="X9" s="18" t="e">
        <f>+X5-X6-X8</f>
        <v>#DIV/0!</v>
      </c>
      <c r="Y9" s="18">
        <f>+Y5-Y6-Y8</f>
        <v>0</v>
      </c>
      <c r="Z9" s="71" t="e">
        <f>+Y9/Y5</f>
        <v>#DIV/0!</v>
      </c>
      <c r="AA9" s="18" t="e">
        <f>+AA5-AA6-AA8</f>
        <v>#DIV/0!</v>
      </c>
      <c r="AB9" s="18">
        <f>+AB5-AB6-AB8</f>
        <v>0</v>
      </c>
      <c r="AC9" s="61" t="e">
        <f>+AB9/$AB$5</f>
        <v>#DIV/0!</v>
      </c>
      <c r="AD9" s="18" t="e">
        <f>+AD5-AD6-AD8</f>
        <v>#DIV/0!</v>
      </c>
      <c r="AE9" s="18">
        <f>+AE5-AE6-AE8</f>
        <v>0</v>
      </c>
      <c r="AF9" s="61" t="e">
        <f>+AE9/$AE$5</f>
        <v>#DIV/0!</v>
      </c>
      <c r="AG9" s="18" t="e">
        <f>+AG5-AG6-AG8</f>
        <v>#DIV/0!</v>
      </c>
      <c r="AH9" s="18">
        <f>+AH5-AH6-AH8</f>
        <v>0</v>
      </c>
      <c r="AI9" s="61" t="e">
        <f>+AH9/$AH$5</f>
        <v>#DIV/0!</v>
      </c>
      <c r="AJ9" s="18" t="e">
        <f>+AJ5-AJ6-AJ8</f>
        <v>#DIV/0!</v>
      </c>
      <c r="AK9" s="18">
        <f>+AK5-AK6-AK8</f>
        <v>0</v>
      </c>
      <c r="AL9" s="61" t="e">
        <f>+AK9/$AK$5</f>
        <v>#DIV/0!</v>
      </c>
      <c r="AM9" s="18" t="e">
        <f>+AM5-AM6-AM8</f>
        <v>#DIV/0!</v>
      </c>
      <c r="AN9" s="19"/>
      <c r="AO9" s="19"/>
      <c r="AP9" s="101">
        <f>+V9+AB9+AE9+AH9+AK9+Y9+S9+P9+M9+J9+G9+D9</f>
        <v>131.28194000000019</v>
      </c>
      <c r="AQ9" s="71">
        <f>+AP9/$AP$5</f>
        <v>2.7768866992100554E-2</v>
      </c>
      <c r="AR9" s="18">
        <f>+AR5-AR6-AR8</f>
        <v>9.3772814285714503</v>
      </c>
      <c r="AS9" s="34">
        <f t="shared" si="0"/>
        <v>21.880323333333365</v>
      </c>
      <c r="AT9" s="64"/>
      <c r="AU9" s="18">
        <f>+AU5-AU6-AU8</f>
        <v>1.5628802380952465</v>
      </c>
    </row>
    <row r="10" spans="2:47" ht="7.5" customHeight="1">
      <c r="B10" s="19"/>
      <c r="C10" s="19"/>
      <c r="D10" s="37"/>
      <c r="E10" s="64"/>
      <c r="F10" s="64"/>
      <c r="G10" s="37"/>
      <c r="H10" s="64"/>
      <c r="I10" s="64"/>
      <c r="J10" s="37"/>
      <c r="K10" s="64"/>
      <c r="L10" s="64"/>
      <c r="M10" s="37"/>
      <c r="N10" s="64"/>
      <c r="O10" s="64"/>
      <c r="P10" s="37"/>
      <c r="Q10" s="64"/>
      <c r="R10" s="64"/>
      <c r="S10" s="37"/>
      <c r="T10" s="64"/>
      <c r="U10" s="64"/>
      <c r="V10" s="37"/>
      <c r="W10" s="64"/>
      <c r="X10" s="64"/>
      <c r="Y10" s="37"/>
      <c r="Z10" s="73"/>
      <c r="AA10" s="64"/>
      <c r="AB10" s="37"/>
      <c r="AC10" s="64"/>
      <c r="AD10" s="64"/>
      <c r="AE10" s="37"/>
      <c r="AF10" s="64"/>
      <c r="AG10" s="64"/>
      <c r="AH10" s="37"/>
      <c r="AI10" s="64"/>
      <c r="AJ10" s="64"/>
      <c r="AK10" s="19"/>
      <c r="AL10" s="19"/>
      <c r="AM10" s="19"/>
      <c r="AN10" s="19"/>
      <c r="AO10" s="19"/>
      <c r="AP10" s="19"/>
      <c r="AQ10" s="79"/>
      <c r="AR10" s="64"/>
      <c r="AS10" s="19"/>
      <c r="AT10" s="64"/>
      <c r="AU10" s="64"/>
    </row>
    <row r="11" spans="2:47">
      <c r="B11" s="20" t="s">
        <v>15</v>
      </c>
      <c r="C11" s="19"/>
      <c r="D11" s="37">
        <v>17</v>
      </c>
      <c r="E11" s="64"/>
      <c r="F11" s="94">
        <f>+D11/F4</f>
        <v>1.2142857142857142</v>
      </c>
      <c r="G11" s="37">
        <v>17</v>
      </c>
      <c r="H11" s="64"/>
      <c r="I11" s="94">
        <f>+G11/I4</f>
        <v>1.2142857142857142</v>
      </c>
      <c r="J11" s="37">
        <v>17</v>
      </c>
      <c r="K11" s="64"/>
      <c r="L11" s="94">
        <f>+J11/L4</f>
        <v>1.2142857142857142</v>
      </c>
      <c r="M11" s="37">
        <v>17</v>
      </c>
      <c r="N11" s="64"/>
      <c r="O11" s="94">
        <f>+M11/O4</f>
        <v>1.2142857142857142</v>
      </c>
      <c r="P11" s="37">
        <v>17</v>
      </c>
      <c r="Q11" s="64"/>
      <c r="R11" s="94">
        <f>+P11/R4</f>
        <v>1.2142857142857142</v>
      </c>
      <c r="S11" s="37">
        <v>17</v>
      </c>
      <c r="T11" s="64"/>
      <c r="U11" s="94">
        <f>+S11/U4</f>
        <v>1.2142857142857142</v>
      </c>
      <c r="V11" s="37">
        <v>0</v>
      </c>
      <c r="W11" s="64"/>
      <c r="X11" s="94" t="e">
        <f>+V11/X4</f>
        <v>#DIV/0!</v>
      </c>
      <c r="Y11" s="37">
        <v>0</v>
      </c>
      <c r="Z11" s="73"/>
      <c r="AA11" s="94" t="e">
        <f>+Y11/AA4</f>
        <v>#DIV/0!</v>
      </c>
      <c r="AB11" s="37">
        <v>0</v>
      </c>
      <c r="AC11" s="64"/>
      <c r="AD11" s="94" t="e">
        <f>+AB11/AD4</f>
        <v>#DIV/0!</v>
      </c>
      <c r="AE11" s="37">
        <v>0</v>
      </c>
      <c r="AF11" s="64"/>
      <c r="AG11" s="94" t="e">
        <f>+AE11/AG4</f>
        <v>#DIV/0!</v>
      </c>
      <c r="AH11" s="37">
        <v>0</v>
      </c>
      <c r="AI11" s="64"/>
      <c r="AJ11" s="94" t="e">
        <f>+AH11/AJ4</f>
        <v>#DIV/0!</v>
      </c>
      <c r="AK11" s="19">
        <v>0</v>
      </c>
      <c r="AL11" s="19"/>
      <c r="AM11" s="94" t="e">
        <f>+AK11/AM4</f>
        <v>#DIV/0!</v>
      </c>
      <c r="AN11" s="19"/>
      <c r="AO11" s="19"/>
      <c r="AP11" s="16">
        <f>(AB11+AE11+AH11+AK11+Y11++V11+S11+P11+M11+J11+G11+D11)</f>
        <v>102</v>
      </c>
      <c r="AQ11" s="64"/>
      <c r="AR11" s="94">
        <f>+AP11/AR4</f>
        <v>7.2857142857142856</v>
      </c>
      <c r="AS11" s="33">
        <f>+AP11/AS4</f>
        <v>17</v>
      </c>
      <c r="AT11" s="64"/>
      <c r="AU11" s="94">
        <f>+AS11/AU4</f>
        <v>1.2142857142857142</v>
      </c>
    </row>
    <row r="12" spans="2:47">
      <c r="B12" s="20" t="s">
        <v>13</v>
      </c>
      <c r="C12" s="19"/>
      <c r="D12" s="37">
        <v>496.44024000000002</v>
      </c>
      <c r="E12" s="64"/>
      <c r="F12" s="94">
        <f>+D12/F4</f>
        <v>35.460017142857147</v>
      </c>
      <c r="G12" s="37">
        <v>480.65498000000002</v>
      </c>
      <c r="H12" s="64"/>
      <c r="I12" s="94">
        <f>+G12/I4</f>
        <v>34.332498571428573</v>
      </c>
      <c r="J12" s="37">
        <v>498.50900000000001</v>
      </c>
      <c r="K12" s="64"/>
      <c r="L12" s="94">
        <f>+J12/L4</f>
        <v>35.607785714285718</v>
      </c>
      <c r="M12" s="37">
        <v>481.42412000000002</v>
      </c>
      <c r="N12" s="64"/>
      <c r="O12" s="94">
        <f>+M12/O4</f>
        <v>34.387437142857145</v>
      </c>
      <c r="P12" s="37">
        <v>480.46699999999998</v>
      </c>
      <c r="Q12" s="64"/>
      <c r="R12" s="94">
        <f>+P12/R4</f>
        <v>34.319071428571426</v>
      </c>
      <c r="S12" s="37">
        <v>474.40483</v>
      </c>
      <c r="T12" s="64"/>
      <c r="U12" s="94">
        <f>+S12/U4</f>
        <v>33.886059285714289</v>
      </c>
      <c r="V12" s="37">
        <v>0</v>
      </c>
      <c r="W12" s="64"/>
      <c r="X12" s="94" t="e">
        <f>+V12/X4</f>
        <v>#DIV/0!</v>
      </c>
      <c r="Y12" s="37">
        <v>0</v>
      </c>
      <c r="Z12" s="73"/>
      <c r="AA12" s="94" t="e">
        <f>+Y12/AA4</f>
        <v>#DIV/0!</v>
      </c>
      <c r="AB12" s="37">
        <v>0</v>
      </c>
      <c r="AC12" s="64"/>
      <c r="AD12" s="94" t="e">
        <f>+AB12/AD4</f>
        <v>#DIV/0!</v>
      </c>
      <c r="AE12" s="37">
        <v>0</v>
      </c>
      <c r="AF12" s="64"/>
      <c r="AG12" s="94" t="e">
        <f>+AE12/AG4</f>
        <v>#DIV/0!</v>
      </c>
      <c r="AH12" s="37">
        <v>0</v>
      </c>
      <c r="AI12" s="64"/>
      <c r="AJ12" s="94" t="e">
        <f>+AH12/AJ4</f>
        <v>#DIV/0!</v>
      </c>
      <c r="AK12" s="33">
        <v>0</v>
      </c>
      <c r="AL12" s="19"/>
      <c r="AM12" s="94" t="e">
        <f>+AK12/AM4</f>
        <v>#DIV/0!</v>
      </c>
      <c r="AN12" s="19"/>
      <c r="AO12" s="19"/>
      <c r="AP12" s="27">
        <f>+V12+AB12+AE12+AH12+AK12+Y12+S12+P12+M12+J12+G12+D12</f>
        <v>2911.9001699999999</v>
      </c>
      <c r="AQ12" s="64"/>
      <c r="AR12" s="94">
        <f>+AP12/AR4</f>
        <v>207.99286928571428</v>
      </c>
      <c r="AS12" s="16">
        <f t="shared" ref="AS12" si="1">+AP12/$AS$4</f>
        <v>485.31669499999998</v>
      </c>
      <c r="AT12" s="64"/>
      <c r="AU12" s="94">
        <f>+AS12/AU4</f>
        <v>34.665478214285713</v>
      </c>
    </row>
    <row r="13" spans="2:47">
      <c r="B13" s="21" t="s">
        <v>16</v>
      </c>
      <c r="C13" s="19"/>
      <c r="D13" s="38">
        <f>+D12/D5</f>
        <v>0.61103859069194111</v>
      </c>
      <c r="E13" s="64"/>
      <c r="F13" s="38"/>
      <c r="G13" s="38">
        <f>+G12/G5</f>
        <v>0.64270286749613903</v>
      </c>
      <c r="H13" s="64"/>
      <c r="I13" s="38"/>
      <c r="J13" s="38">
        <f>+J12/J5</f>
        <v>0.58300645798102135</v>
      </c>
      <c r="K13" s="64"/>
      <c r="L13" s="38"/>
      <c r="M13" s="38">
        <f>+M12/M5</f>
        <v>0.59597977682207914</v>
      </c>
      <c r="N13" s="64"/>
      <c r="O13" s="38"/>
      <c r="P13" s="38">
        <f>+P12/P5</f>
        <v>0.60130512824604265</v>
      </c>
      <c r="Q13" s="64"/>
      <c r="R13" s="38"/>
      <c r="S13" s="38">
        <f>+S12/S5</f>
        <v>0.67247968689755278</v>
      </c>
      <c r="T13" s="64"/>
      <c r="U13" s="38"/>
      <c r="V13" s="38" t="e">
        <f>+V12/V5</f>
        <v>#DIV/0!</v>
      </c>
      <c r="W13" s="64"/>
      <c r="X13" s="38"/>
      <c r="Y13" s="38" t="e">
        <f>+Y12/Y5</f>
        <v>#DIV/0!</v>
      </c>
      <c r="Z13" s="73"/>
      <c r="AA13" s="38"/>
      <c r="AB13" s="38" t="e">
        <f>+AB12/AB5</f>
        <v>#DIV/0!</v>
      </c>
      <c r="AC13" s="64"/>
      <c r="AD13" s="38"/>
      <c r="AE13" s="38" t="e">
        <f>+AE12/AE5</f>
        <v>#DIV/0!</v>
      </c>
      <c r="AF13" s="64"/>
      <c r="AG13" s="38"/>
      <c r="AH13" s="38" t="e">
        <f>+AH12/AH5</f>
        <v>#DIV/0!</v>
      </c>
      <c r="AI13" s="64"/>
      <c r="AJ13" s="38"/>
      <c r="AK13" s="38" t="e">
        <f>+AK12/AK5</f>
        <v>#DIV/0!</v>
      </c>
      <c r="AL13" s="19"/>
      <c r="AM13" s="19"/>
      <c r="AN13" s="19"/>
      <c r="AO13" s="19"/>
      <c r="AP13" s="40">
        <f>+AP12/AP5</f>
        <v>0.61592758695525729</v>
      </c>
      <c r="AQ13" s="64"/>
      <c r="AR13" s="38"/>
      <c r="AS13" s="40">
        <f>+AS12/AS5</f>
        <v>0.61592758695525729</v>
      </c>
      <c r="AT13" s="64"/>
      <c r="AU13" s="38"/>
    </row>
    <row r="14" spans="2:47">
      <c r="B14" s="21" t="s">
        <v>14</v>
      </c>
      <c r="C14" s="19"/>
      <c r="D14" s="8">
        <f>+D5/D11</f>
        <v>47.791362941176473</v>
      </c>
      <c r="E14" s="64"/>
      <c r="F14" s="8"/>
      <c r="G14" s="8">
        <f>+G5/G11</f>
        <v>43.992058823529412</v>
      </c>
      <c r="H14" s="64"/>
      <c r="I14" s="8"/>
      <c r="J14" s="8">
        <f>+J5/J11</f>
        <v>50.298000000000002</v>
      </c>
      <c r="K14" s="64"/>
      <c r="L14" s="8"/>
      <c r="M14" s="8">
        <f>+M5/M11</f>
        <v>47.516823529411766</v>
      </c>
      <c r="N14" s="64"/>
      <c r="O14" s="8"/>
      <c r="P14" s="8">
        <f>+P5/P11</f>
        <v>47.002367647058826</v>
      </c>
      <c r="Q14" s="64"/>
      <c r="R14" s="8"/>
      <c r="S14" s="8">
        <f>+S5/S11</f>
        <v>41.49741176470588</v>
      </c>
      <c r="T14" s="64"/>
      <c r="U14" s="8"/>
      <c r="V14" s="8" t="e">
        <f>+V5/V11</f>
        <v>#DIV/0!</v>
      </c>
      <c r="W14" s="64"/>
      <c r="X14" s="8"/>
      <c r="Y14" s="8" t="e">
        <f>+Y5/Y11</f>
        <v>#DIV/0!</v>
      </c>
      <c r="Z14" s="73"/>
      <c r="AA14" s="8"/>
      <c r="AB14" s="8" t="e">
        <f>+AB5/AB11</f>
        <v>#DIV/0!</v>
      </c>
      <c r="AC14" s="64"/>
      <c r="AD14" s="8"/>
      <c r="AE14" s="8" t="e">
        <f>+AE5/AE11</f>
        <v>#DIV/0!</v>
      </c>
      <c r="AF14" s="64"/>
      <c r="AG14" s="8"/>
      <c r="AH14" s="8" t="e">
        <f>+AH5/AH11</f>
        <v>#DIV/0!</v>
      </c>
      <c r="AI14" s="64"/>
      <c r="AJ14" s="8"/>
      <c r="AK14" s="8" t="e">
        <f>+AK5/AK11</f>
        <v>#DIV/0!</v>
      </c>
      <c r="AL14" s="19"/>
      <c r="AM14" s="19"/>
      <c r="AN14" s="19"/>
      <c r="AO14" s="19"/>
      <c r="AP14" s="41">
        <f>+AP5/AP11</f>
        <v>46.349670784313723</v>
      </c>
      <c r="AQ14" s="64"/>
      <c r="AR14" s="8"/>
      <c r="AS14" s="41">
        <f>+AS5/AS11</f>
        <v>46.349670784313723</v>
      </c>
      <c r="AT14" s="64"/>
      <c r="AU14" s="8"/>
    </row>
    <row r="15" spans="2:47">
      <c r="B15" s="10" t="s">
        <v>41</v>
      </c>
      <c r="C15" s="19"/>
      <c r="D15" s="8">
        <f>+D12/D11</f>
        <v>29.20236705882353</v>
      </c>
      <c r="E15" s="64"/>
      <c r="F15" s="8"/>
      <c r="G15" s="8">
        <f>+G12/G11</f>
        <v>28.273822352941178</v>
      </c>
      <c r="H15" s="64"/>
      <c r="I15" s="8"/>
      <c r="J15" s="8">
        <f>+J12/J11</f>
        <v>29.324058823529413</v>
      </c>
      <c r="K15" s="64"/>
      <c r="L15" s="8"/>
      <c r="M15" s="8">
        <f>+M12/M11</f>
        <v>28.319065882352941</v>
      </c>
      <c r="N15" s="64"/>
      <c r="O15" s="8"/>
      <c r="P15" s="8">
        <f>+P12/P11</f>
        <v>28.262764705882351</v>
      </c>
      <c r="Q15" s="64"/>
      <c r="R15" s="8"/>
      <c r="S15" s="8">
        <f>+S12/S11</f>
        <v>27.906166470588236</v>
      </c>
      <c r="T15" s="64"/>
      <c r="U15" s="8"/>
      <c r="V15" s="8" t="e">
        <f>+V12/V11</f>
        <v>#DIV/0!</v>
      </c>
      <c r="W15" s="64"/>
      <c r="X15" s="8"/>
      <c r="Y15" s="8" t="e">
        <f>+Y12/Y11</f>
        <v>#DIV/0!</v>
      </c>
      <c r="Z15" s="73"/>
      <c r="AA15" s="8"/>
      <c r="AB15" s="8" t="e">
        <f>+AB12/AB11</f>
        <v>#DIV/0!</v>
      </c>
      <c r="AC15" s="64"/>
      <c r="AD15" s="8"/>
      <c r="AE15" s="8" t="e">
        <f>+AE12/AE11</f>
        <v>#DIV/0!</v>
      </c>
      <c r="AF15" s="64"/>
      <c r="AG15" s="8"/>
      <c r="AH15" s="8" t="e">
        <f>+AH12/AH11</f>
        <v>#DIV/0!</v>
      </c>
      <c r="AI15" s="64"/>
      <c r="AJ15" s="8"/>
      <c r="AK15" s="8" t="e">
        <f>+AK12/AK11</f>
        <v>#DIV/0!</v>
      </c>
      <c r="AL15" s="19"/>
      <c r="AM15" s="19"/>
      <c r="AN15" s="19"/>
      <c r="AO15" s="19"/>
      <c r="AP15" s="41">
        <f>+AP12/AP11</f>
        <v>28.548040882352939</v>
      </c>
      <c r="AQ15" s="64"/>
      <c r="AR15" s="8"/>
      <c r="AS15" s="41">
        <f>+AS12/AS11</f>
        <v>28.548040882352939</v>
      </c>
      <c r="AT15" s="64"/>
      <c r="AU15" s="8"/>
    </row>
    <row r="16" spans="2:47">
      <c r="B16" s="21" t="s">
        <v>17</v>
      </c>
      <c r="C16" s="19"/>
      <c r="D16" s="38">
        <f>+D12/D7</f>
        <v>0.66411198696005957</v>
      </c>
      <c r="E16" s="64"/>
      <c r="F16" s="38"/>
      <c r="G16" s="38">
        <f>+G12/G7</f>
        <v>0.70776878074782834</v>
      </c>
      <c r="H16" s="64"/>
      <c r="I16" s="38"/>
      <c r="J16" s="38">
        <f>+J12/J7</f>
        <v>0.69095680418413152</v>
      </c>
      <c r="K16" s="64"/>
      <c r="L16" s="38"/>
      <c r="M16" s="38">
        <f>+M12/M7</f>
        <v>0.67650779272918438</v>
      </c>
      <c r="N16" s="64"/>
      <c r="O16" s="38"/>
      <c r="P16" s="38">
        <f>+P12/P7</f>
        <v>0.69596693140575627</v>
      </c>
      <c r="Q16" s="64"/>
      <c r="R16" s="38"/>
      <c r="S16" s="38">
        <f>+S12/S7</f>
        <v>0.86394057824753445</v>
      </c>
      <c r="T16" s="64"/>
      <c r="U16" s="38"/>
      <c r="V16" s="38" t="e">
        <f>+V12/V7</f>
        <v>#DIV/0!</v>
      </c>
      <c r="W16" s="64"/>
      <c r="X16" s="38"/>
      <c r="Y16" s="38" t="e">
        <f>+Y12/Y7</f>
        <v>#DIV/0!</v>
      </c>
      <c r="Z16" s="73"/>
      <c r="AA16" s="38"/>
      <c r="AB16" s="38" t="e">
        <f>+AB12/AB7</f>
        <v>#DIV/0!</v>
      </c>
      <c r="AC16" s="64"/>
      <c r="AD16" s="38"/>
      <c r="AE16" s="38" t="e">
        <f>+AE12/AE7</f>
        <v>#DIV/0!</v>
      </c>
      <c r="AF16" s="64"/>
      <c r="AG16" s="38"/>
      <c r="AH16" s="38" t="e">
        <f>+AH12/AH7</f>
        <v>#DIV/0!</v>
      </c>
      <c r="AI16" s="64"/>
      <c r="AJ16" s="38"/>
      <c r="AK16" s="38" t="e">
        <f>+AK12/AK7</f>
        <v>#DIV/0!</v>
      </c>
      <c r="AL16" s="19"/>
      <c r="AM16" s="19"/>
      <c r="AN16" s="19"/>
      <c r="AO16" s="19"/>
      <c r="AP16" s="40">
        <f>+AP12/AP7</f>
        <v>0.71035435985774986</v>
      </c>
      <c r="AQ16" s="64"/>
      <c r="AR16" s="38"/>
      <c r="AS16" s="40">
        <f>+AS12/AS7</f>
        <v>0.71035435985774997</v>
      </c>
      <c r="AT16" s="64"/>
      <c r="AU16" s="38"/>
    </row>
    <row r="17" spans="2:47" ht="7.5" customHeight="1">
      <c r="B17" s="7"/>
      <c r="C17" s="19"/>
      <c r="D17" s="37"/>
      <c r="E17" s="64"/>
      <c r="F17" s="64"/>
      <c r="G17" s="37"/>
      <c r="H17" s="64"/>
      <c r="I17" s="64"/>
      <c r="J17" s="37"/>
      <c r="K17" s="64"/>
      <c r="L17" s="64"/>
      <c r="M17" s="37"/>
      <c r="N17" s="64"/>
      <c r="O17" s="64"/>
      <c r="P17" s="37"/>
      <c r="Q17" s="64"/>
      <c r="R17" s="64"/>
      <c r="S17" s="37"/>
      <c r="T17" s="64"/>
      <c r="U17" s="64"/>
      <c r="V17" s="37"/>
      <c r="W17" s="64"/>
      <c r="X17" s="64"/>
      <c r="Y17" s="37"/>
      <c r="Z17" s="73"/>
      <c r="AA17" s="64"/>
      <c r="AB17" s="37"/>
      <c r="AC17" s="64"/>
      <c r="AD17" s="64"/>
      <c r="AE17" s="37"/>
      <c r="AF17" s="64"/>
      <c r="AG17" s="64"/>
      <c r="AH17" s="37"/>
      <c r="AI17" s="64"/>
      <c r="AJ17" s="64"/>
      <c r="AK17" s="19"/>
      <c r="AL17" s="19"/>
      <c r="AM17" s="19"/>
      <c r="AN17" s="19"/>
      <c r="AO17" s="19"/>
      <c r="AP17" s="19"/>
      <c r="AQ17" s="64"/>
      <c r="AR17" s="64"/>
      <c r="AS17" s="19"/>
      <c r="AT17" s="64"/>
      <c r="AU17" s="64"/>
    </row>
    <row r="18" spans="2:47">
      <c r="B18" s="20" t="s">
        <v>27</v>
      </c>
      <c r="C18" s="19"/>
      <c r="D18" s="11">
        <v>12496</v>
      </c>
      <c r="E18" s="65">
        <v>12496</v>
      </c>
      <c r="F18" s="80">
        <f>+D18/F4</f>
        <v>892.57142857142856</v>
      </c>
      <c r="G18" s="11">
        <v>10599</v>
      </c>
      <c r="H18" s="65">
        <v>10599</v>
      </c>
      <c r="I18" s="80">
        <f>+G18/I4</f>
        <v>757.07142857142856</v>
      </c>
      <c r="J18" s="11">
        <v>11509</v>
      </c>
      <c r="K18" s="65">
        <v>11509</v>
      </c>
      <c r="L18" s="80">
        <f>+J18/L4</f>
        <v>822.07142857142856</v>
      </c>
      <c r="M18" s="11">
        <v>11291</v>
      </c>
      <c r="N18" s="65">
        <v>11291</v>
      </c>
      <c r="O18" s="80">
        <f>+M18/O4</f>
        <v>806.5</v>
      </c>
      <c r="P18" s="11">
        <v>11467</v>
      </c>
      <c r="Q18" s="65">
        <v>11467</v>
      </c>
      <c r="R18" s="80">
        <f>+P18/R4</f>
        <v>819.07142857142856</v>
      </c>
      <c r="S18" s="11">
        <v>11101</v>
      </c>
      <c r="T18" s="65">
        <v>11101</v>
      </c>
      <c r="U18" s="80">
        <f>+S18/U4</f>
        <v>792.92857142857144</v>
      </c>
      <c r="V18" s="11">
        <v>0</v>
      </c>
      <c r="W18" s="65">
        <v>0</v>
      </c>
      <c r="X18" s="80" t="e">
        <f>+V18/X4</f>
        <v>#DIV/0!</v>
      </c>
      <c r="Y18" s="11">
        <v>0</v>
      </c>
      <c r="Z18" s="65">
        <v>0</v>
      </c>
      <c r="AA18" s="80" t="e">
        <f>+Y18/AA4</f>
        <v>#DIV/0!</v>
      </c>
      <c r="AB18" s="11">
        <v>0</v>
      </c>
      <c r="AC18" s="65">
        <v>0</v>
      </c>
      <c r="AD18" s="80" t="e">
        <f>+AB18/AD4</f>
        <v>#DIV/0!</v>
      </c>
      <c r="AE18" s="11">
        <v>0</v>
      </c>
      <c r="AF18" s="65">
        <v>0</v>
      </c>
      <c r="AG18" s="80" t="e">
        <f>+AE18/AG4</f>
        <v>#DIV/0!</v>
      </c>
      <c r="AH18" s="11">
        <v>0</v>
      </c>
      <c r="AI18" s="65">
        <v>0</v>
      </c>
      <c r="AJ18" s="80" t="e">
        <f>+AH18/AJ4</f>
        <v>#DIV/0!</v>
      </c>
      <c r="AK18" s="11">
        <v>0</v>
      </c>
      <c r="AL18" s="65">
        <v>0</v>
      </c>
      <c r="AM18" s="80" t="e">
        <f>+AK18/AM4</f>
        <v>#DIV/0!</v>
      </c>
      <c r="AN18" s="19"/>
      <c r="AO18" s="19"/>
      <c r="AP18" s="27">
        <f t="shared" ref="AP18:AQ20" si="2">+V18+AB18+AE18+AH18+AK18+Y18+S18+P18+M18+J18+G18+D18</f>
        <v>68463</v>
      </c>
      <c r="AQ18" s="27">
        <f t="shared" si="2"/>
        <v>68463</v>
      </c>
      <c r="AR18" s="80">
        <f>+AP18/AR4</f>
        <v>4890.2142857142853</v>
      </c>
      <c r="AS18" s="16">
        <f t="shared" ref="AS18:AT20" si="3">+AP18/$AS$4</f>
        <v>11410.5</v>
      </c>
      <c r="AT18" s="80">
        <f t="shared" si="3"/>
        <v>11410.5</v>
      </c>
      <c r="AU18" s="80">
        <f>+AS18/AU4</f>
        <v>815.03571428571433</v>
      </c>
    </row>
    <row r="19" spans="2:47">
      <c r="B19" s="20" t="s">
        <v>28</v>
      </c>
      <c r="C19" s="19"/>
      <c r="D19" s="11">
        <f>1472+125</f>
        <v>1597</v>
      </c>
      <c r="E19" s="65">
        <f>1472+125</f>
        <v>1597</v>
      </c>
      <c r="F19" s="80">
        <f>+D19/F4</f>
        <v>114.07142857142857</v>
      </c>
      <c r="G19" s="11">
        <v>1427.26</v>
      </c>
      <c r="H19" s="65">
        <v>1427.26</v>
      </c>
      <c r="I19" s="80">
        <f>+G19/I4</f>
        <v>101.94714285714285</v>
      </c>
      <c r="J19" s="11">
        <v>1663.49</v>
      </c>
      <c r="K19" s="65">
        <v>1663.49</v>
      </c>
      <c r="L19" s="80">
        <f>+J19/L4</f>
        <v>118.82071428571429</v>
      </c>
      <c r="M19" s="11">
        <v>1553.61</v>
      </c>
      <c r="N19" s="65">
        <v>1553.61</v>
      </c>
      <c r="O19" s="80">
        <f>+M19/O4</f>
        <v>110.97214285714286</v>
      </c>
      <c r="P19" s="11">
        <v>1566.26</v>
      </c>
      <c r="Q19" s="11">
        <v>1566.26</v>
      </c>
      <c r="R19" s="80">
        <f>+P19/R4</f>
        <v>111.87571428571428</v>
      </c>
      <c r="S19" s="11">
        <v>1564.08</v>
      </c>
      <c r="T19" s="11">
        <v>1564.08</v>
      </c>
      <c r="U19" s="80">
        <f>+S19/U4</f>
        <v>111.72</v>
      </c>
      <c r="V19" s="11">
        <v>0</v>
      </c>
      <c r="W19" s="65">
        <v>0</v>
      </c>
      <c r="X19" s="80" t="e">
        <f>+V19/X4</f>
        <v>#DIV/0!</v>
      </c>
      <c r="Y19" s="11">
        <v>0</v>
      </c>
      <c r="Z19" s="65">
        <v>0</v>
      </c>
      <c r="AA19" s="80" t="e">
        <f>+Y19/AA4</f>
        <v>#DIV/0!</v>
      </c>
      <c r="AB19" s="11">
        <v>0</v>
      </c>
      <c r="AC19" s="65">
        <v>0</v>
      </c>
      <c r="AD19" s="80" t="e">
        <f>+AB19/AD4</f>
        <v>#DIV/0!</v>
      </c>
      <c r="AE19" s="11">
        <v>0</v>
      </c>
      <c r="AF19" s="65">
        <v>0</v>
      </c>
      <c r="AG19" s="80" t="e">
        <f>+AE19/AG4</f>
        <v>#DIV/0!</v>
      </c>
      <c r="AH19" s="11">
        <v>0</v>
      </c>
      <c r="AI19" s="65">
        <v>0</v>
      </c>
      <c r="AJ19" s="80" t="e">
        <f>+AH19/AJ4</f>
        <v>#DIV/0!</v>
      </c>
      <c r="AK19" s="11">
        <v>0</v>
      </c>
      <c r="AL19" s="65">
        <v>0</v>
      </c>
      <c r="AM19" s="80" t="e">
        <f>+AK19/AM4</f>
        <v>#DIV/0!</v>
      </c>
      <c r="AN19" s="19"/>
      <c r="AO19" s="19"/>
      <c r="AP19" s="27">
        <f t="shared" si="2"/>
        <v>9371.7000000000007</v>
      </c>
      <c r="AQ19" s="27">
        <f t="shared" si="2"/>
        <v>9371.7000000000007</v>
      </c>
      <c r="AR19" s="80">
        <f>+AP19/AR4</f>
        <v>669.40714285714296</v>
      </c>
      <c r="AS19" s="16">
        <f t="shared" si="3"/>
        <v>1561.95</v>
      </c>
      <c r="AT19" s="80">
        <f t="shared" si="3"/>
        <v>1561.95</v>
      </c>
      <c r="AU19" s="80">
        <f>+AS19/AU4</f>
        <v>111.56785714285715</v>
      </c>
    </row>
    <row r="20" spans="2:47">
      <c r="B20" s="20" t="s">
        <v>29</v>
      </c>
      <c r="C20" s="19"/>
      <c r="D20" s="11">
        <f>8.53887+55.44289-11.9566</f>
        <v>52.025159999999993</v>
      </c>
      <c r="E20" s="66">
        <f>54.724+4.576</f>
        <v>59.3</v>
      </c>
      <c r="F20" s="80">
        <f>+D20/F4</f>
        <v>3.7160828571428568</v>
      </c>
      <c r="G20" s="11">
        <f>4.1002+52.316-3.7953</f>
        <v>52.620900000000006</v>
      </c>
      <c r="H20" s="66">
        <v>52.601999999999997</v>
      </c>
      <c r="I20" s="80">
        <f>+G20/I4</f>
        <v>3.7586357142857145</v>
      </c>
      <c r="J20" s="11">
        <f>5.4124+55.6818-0.5389</f>
        <v>60.555300000000003</v>
      </c>
      <c r="K20" s="66">
        <v>60.555329999999998</v>
      </c>
      <c r="L20" s="80">
        <f>+J20/L4</f>
        <v>4.3253785714285717</v>
      </c>
      <c r="M20" s="11">
        <f>3.5257+52.62044-0.3554</f>
        <v>55.79074</v>
      </c>
      <c r="N20" s="66">
        <v>55.790730000000003</v>
      </c>
      <c r="O20" s="80">
        <f>+M20/O4</f>
        <v>3.9850528571428572</v>
      </c>
      <c r="P20" s="11">
        <f>4.1752+52.8475-0.3624</f>
        <v>56.660299999999999</v>
      </c>
      <c r="Q20" s="66">
        <v>56.660299999999999</v>
      </c>
      <c r="R20" s="80">
        <f>+P20/R4</f>
        <v>4.0471642857142855</v>
      </c>
      <c r="S20" s="11">
        <f>53.2207+3.9131-0.35899</f>
        <v>56.774810000000002</v>
      </c>
      <c r="T20" s="66">
        <v>56.774769999999997</v>
      </c>
      <c r="U20" s="80">
        <f>+S20/U4</f>
        <v>4.0553435714285717</v>
      </c>
      <c r="V20" s="11">
        <v>0</v>
      </c>
      <c r="W20" s="66">
        <v>0</v>
      </c>
      <c r="X20" s="80" t="e">
        <f>+V20/X4</f>
        <v>#DIV/0!</v>
      </c>
      <c r="Y20" s="11">
        <v>0</v>
      </c>
      <c r="Z20" s="66">
        <v>0</v>
      </c>
      <c r="AA20" s="80" t="e">
        <f>+Y20/AA4</f>
        <v>#DIV/0!</v>
      </c>
      <c r="AB20" s="11">
        <v>0</v>
      </c>
      <c r="AC20" s="66">
        <v>0</v>
      </c>
      <c r="AD20" s="80" t="e">
        <f>+AB20/AD4</f>
        <v>#DIV/0!</v>
      </c>
      <c r="AE20" s="11">
        <v>0</v>
      </c>
      <c r="AF20" s="66">
        <v>0</v>
      </c>
      <c r="AG20" s="80" t="e">
        <f>+AE20/AG4</f>
        <v>#DIV/0!</v>
      </c>
      <c r="AH20" s="11">
        <v>0</v>
      </c>
      <c r="AI20" s="66">
        <v>0</v>
      </c>
      <c r="AJ20" s="80" t="e">
        <f>+AH20/AJ4</f>
        <v>#DIV/0!</v>
      </c>
      <c r="AK20" s="11">
        <v>0</v>
      </c>
      <c r="AL20" s="66">
        <v>0</v>
      </c>
      <c r="AM20" s="80" t="e">
        <f>+AK20/AM4</f>
        <v>#DIV/0!</v>
      </c>
      <c r="AN20" s="19"/>
      <c r="AO20" s="19"/>
      <c r="AP20" s="27">
        <f t="shared" si="2"/>
        <v>334.42721</v>
      </c>
      <c r="AQ20" s="27">
        <f t="shared" si="2"/>
        <v>341.68313000000001</v>
      </c>
      <c r="AR20" s="80">
        <f>+AP20/AR4</f>
        <v>23.887657857142859</v>
      </c>
      <c r="AS20" s="16">
        <f t="shared" si="3"/>
        <v>55.737868333333331</v>
      </c>
      <c r="AT20" s="80">
        <f t="shared" si="3"/>
        <v>56.947188333333337</v>
      </c>
      <c r="AU20" s="80">
        <f>+AS20/AU4</f>
        <v>3.9812763095238095</v>
      </c>
    </row>
    <row r="21" spans="2:47">
      <c r="B21" s="21" t="s">
        <v>30</v>
      </c>
      <c r="C21" s="19"/>
      <c r="D21" s="50">
        <f t="shared" ref="D21:E21" si="4">+D20/D19*1000</f>
        <v>32.576806512210389</v>
      </c>
      <c r="E21" s="67">
        <f t="shared" si="4"/>
        <v>37.132122730118972</v>
      </c>
      <c r="F21" s="67"/>
      <c r="G21" s="50">
        <f t="shared" ref="G21:H21" si="5">+G20/G19*1000</f>
        <v>36.868475260288946</v>
      </c>
      <c r="H21" s="67">
        <f t="shared" si="5"/>
        <v>36.855233103989455</v>
      </c>
      <c r="I21" s="67"/>
      <c r="J21" s="50">
        <f t="shared" ref="J21:K21" si="6">+J20/J19*1000</f>
        <v>36.402563285622399</v>
      </c>
      <c r="K21" s="67">
        <f t="shared" si="6"/>
        <v>36.40258131999591</v>
      </c>
      <c r="L21" s="67"/>
      <c r="M21" s="50">
        <f t="shared" ref="M21:N21" si="7">+M20/M19*1000</f>
        <v>35.910389351252888</v>
      </c>
      <c r="N21" s="67">
        <f t="shared" si="7"/>
        <v>35.910382914631093</v>
      </c>
      <c r="O21" s="67"/>
      <c r="P21" s="50">
        <f t="shared" ref="P21:Q21" si="8">+P20/P19*1000</f>
        <v>36.175539182511208</v>
      </c>
      <c r="Q21" s="67">
        <f t="shared" si="8"/>
        <v>36.175539182511208</v>
      </c>
      <c r="R21" s="67"/>
      <c r="S21" s="50">
        <f t="shared" ref="S21:T21" si="9">+S20/S19*1000</f>
        <v>36.299172676589436</v>
      </c>
      <c r="T21" s="67">
        <f t="shared" si="9"/>
        <v>36.299147102450007</v>
      </c>
      <c r="U21" s="67"/>
      <c r="V21" s="50" t="e">
        <f t="shared" ref="V21:AC21" si="10">+V20/V19*1000</f>
        <v>#DIV/0!</v>
      </c>
      <c r="W21" s="67" t="e">
        <f t="shared" si="10"/>
        <v>#DIV/0!</v>
      </c>
      <c r="X21" s="67"/>
      <c r="Y21" s="50" t="e">
        <f t="shared" ref="Y21" si="11">+Y20/Y19*1000</f>
        <v>#DIV/0!</v>
      </c>
      <c r="Z21" s="75" t="e">
        <f t="shared" si="10"/>
        <v>#DIV/0!</v>
      </c>
      <c r="AA21" s="75"/>
      <c r="AB21" s="50" t="e">
        <f t="shared" si="10"/>
        <v>#DIV/0!</v>
      </c>
      <c r="AC21" s="67" t="e">
        <f t="shared" si="10"/>
        <v>#DIV/0!</v>
      </c>
      <c r="AD21" s="67"/>
      <c r="AE21" s="50" t="e">
        <f t="shared" ref="AE21:AF21" si="12">+AE20/AE19*1000</f>
        <v>#DIV/0!</v>
      </c>
      <c r="AF21" s="67" t="e">
        <f t="shared" si="12"/>
        <v>#DIV/0!</v>
      </c>
      <c r="AG21" s="67"/>
      <c r="AH21" s="50" t="e">
        <f t="shared" ref="AH21:AI21" si="13">+AH20/AH19*1000</f>
        <v>#DIV/0!</v>
      </c>
      <c r="AI21" s="67" t="e">
        <f t="shared" si="13"/>
        <v>#DIV/0!</v>
      </c>
      <c r="AJ21" s="67"/>
      <c r="AK21" s="50" t="e">
        <f t="shared" ref="AK21" si="14">+AK20/AK19*1000</f>
        <v>#DIV/0!</v>
      </c>
      <c r="AL21" s="19"/>
      <c r="AM21" s="19"/>
      <c r="AN21" s="19"/>
      <c r="AO21" s="19"/>
      <c r="AP21" s="51">
        <f>+AP20/AP19*1000</f>
        <v>35.684796781800522</v>
      </c>
      <c r="AQ21" s="75">
        <f>+AQ20/AQ19*1000</f>
        <v>36.459034113341225</v>
      </c>
      <c r="AR21" s="75"/>
      <c r="AS21" s="51">
        <f>+AS20/AS19*1000</f>
        <v>35.684796781800522</v>
      </c>
      <c r="AT21" s="75">
        <f>+AT20/AT19*1000</f>
        <v>36.459034113341232</v>
      </c>
    </row>
    <row r="22" spans="2:47">
      <c r="B22" s="21" t="s">
        <v>31</v>
      </c>
      <c r="C22" s="19"/>
      <c r="D22" s="52">
        <f>+D19/D18</f>
        <v>0.12780089628681177</v>
      </c>
      <c r="E22" s="52">
        <f>+E19/E18</f>
        <v>0.12780089628681177</v>
      </c>
      <c r="F22" s="52"/>
      <c r="G22" s="52">
        <f>+G19/G18</f>
        <v>0.13465987357297859</v>
      </c>
      <c r="H22" s="52">
        <f>+H19/H18</f>
        <v>0.13465987357297859</v>
      </c>
      <c r="I22" s="52"/>
      <c r="J22" s="52">
        <f>+J19/J18</f>
        <v>0.14453818750543054</v>
      </c>
      <c r="K22" s="52">
        <f>+K19/K18</f>
        <v>0.14453818750543054</v>
      </c>
      <c r="L22" s="52"/>
      <c r="M22" s="52">
        <f>+M19/M18</f>
        <v>0.13759720131077849</v>
      </c>
      <c r="N22" s="52">
        <f>+N19/N18</f>
        <v>0.13759720131077849</v>
      </c>
      <c r="O22" s="52"/>
      <c r="P22" s="52">
        <f>+P19/P18</f>
        <v>0.13658847126537019</v>
      </c>
      <c r="Q22" s="52">
        <f>+Q19/Q18</f>
        <v>0.13658847126537019</v>
      </c>
      <c r="R22" s="52"/>
      <c r="S22" s="52">
        <f>+S19/S18</f>
        <v>0.14089541482749302</v>
      </c>
      <c r="T22" s="52">
        <f>+T19/T18</f>
        <v>0.14089541482749302</v>
      </c>
      <c r="U22" s="52"/>
      <c r="V22" s="52" t="e">
        <f>+V19/V18</f>
        <v>#DIV/0!</v>
      </c>
      <c r="W22" s="52" t="e">
        <f>+W19/W18</f>
        <v>#DIV/0!</v>
      </c>
      <c r="X22" s="52"/>
      <c r="Y22" s="52" t="e">
        <f>+Y19/Y18</f>
        <v>#DIV/0!</v>
      </c>
      <c r="Z22" s="52" t="e">
        <f>+Z19/Z18</f>
        <v>#DIV/0!</v>
      </c>
      <c r="AA22" s="76"/>
      <c r="AB22" s="52" t="e">
        <f>+AB19/AB18</f>
        <v>#DIV/0!</v>
      </c>
      <c r="AC22" s="52" t="e">
        <f>+AC19/AC18</f>
        <v>#DIV/0!</v>
      </c>
      <c r="AD22" s="52"/>
      <c r="AE22" s="52" t="e">
        <f>+AE19/AE18</f>
        <v>#DIV/0!</v>
      </c>
      <c r="AF22" s="52" t="e">
        <f>+AF19/AF18</f>
        <v>#DIV/0!</v>
      </c>
      <c r="AG22" s="52"/>
      <c r="AH22" s="52" t="e">
        <f>+AH19/AH18</f>
        <v>#DIV/0!</v>
      </c>
      <c r="AI22" s="52" t="e">
        <f>+AI19/AI18</f>
        <v>#DIV/0!</v>
      </c>
      <c r="AJ22" s="52"/>
      <c r="AK22" s="52" t="e">
        <f>+AK19/AK18</f>
        <v>#DIV/0!</v>
      </c>
      <c r="AL22" s="19"/>
      <c r="AM22" s="19"/>
      <c r="AN22" s="19"/>
      <c r="AO22" s="19"/>
      <c r="AP22" s="53">
        <f>+AP19/AP18</f>
        <v>0.13688707769159986</v>
      </c>
      <c r="AQ22" s="52">
        <f>+AQ19/AQ18</f>
        <v>0.13688707769159986</v>
      </c>
      <c r="AR22" s="76"/>
      <c r="AS22" s="52">
        <f>+AS19/AS18</f>
        <v>0.13688707769159986</v>
      </c>
      <c r="AT22" s="52">
        <f>+AT19/AT18</f>
        <v>0.13688707769159986</v>
      </c>
    </row>
    <row r="23" spans="2:47">
      <c r="B23" s="10" t="s">
        <v>26</v>
      </c>
      <c r="C23" s="10"/>
      <c r="D23" s="54">
        <f>+D20*1000/(D18*D21)*100</f>
        <v>12.780089628681177</v>
      </c>
      <c r="E23" s="54">
        <f>+E20*1000/(E18*E21)*100</f>
        <v>12.780089628681178</v>
      </c>
      <c r="F23" s="54"/>
      <c r="G23" s="54">
        <f>+G20*1000/(G18*G21)*100</f>
        <v>13.465987357297859</v>
      </c>
      <c r="H23" s="54">
        <f>+H20*1000/(H18*H21)*100</f>
        <v>13.465987357297859</v>
      </c>
      <c r="I23" s="54"/>
      <c r="J23" s="54">
        <f>+J20*1000/(J18*J21)*100</f>
        <v>14.453818750543052</v>
      </c>
      <c r="K23" s="54">
        <f>+K20*1000/(K18*K21)*100</f>
        <v>14.453818750543052</v>
      </c>
      <c r="L23" s="54"/>
      <c r="M23" s="54">
        <f>+M20*1000/(M18*M21)*100</f>
        <v>13.759720131077849</v>
      </c>
      <c r="N23" s="54">
        <f>+N20*1000/(N18*N21)*100</f>
        <v>13.759720131077845</v>
      </c>
      <c r="O23" s="54"/>
      <c r="P23" s="54">
        <f>+P20*1000/(P18*P21)*100</f>
        <v>13.658847126537019</v>
      </c>
      <c r="Q23" s="54">
        <f>+Q20*1000/(Q18*Q21)*100</f>
        <v>13.658847126537019</v>
      </c>
      <c r="R23" s="54"/>
      <c r="S23" s="54">
        <f>+S20*1000/(S18*S21)*100</f>
        <v>14.089541482749301</v>
      </c>
      <c r="T23" s="54">
        <f>+T20*1000/(T18*T21)*100</f>
        <v>14.089541482749299</v>
      </c>
      <c r="U23" s="54"/>
      <c r="V23" s="54" t="e">
        <f>+V20*1000/(V18*V21)*100</f>
        <v>#DIV/0!</v>
      </c>
      <c r="W23" s="54" t="e">
        <f>+W20*1000/(W18*W21)*100</f>
        <v>#DIV/0!</v>
      </c>
      <c r="X23" s="54"/>
      <c r="Y23" s="54" t="e">
        <f>+Y20*1000/(Y18*Y21)*100</f>
        <v>#DIV/0!</v>
      </c>
      <c r="Z23" s="54" t="e">
        <f>+Z20*1000/(Z18*Z21)*100</f>
        <v>#DIV/0!</v>
      </c>
      <c r="AA23" s="77"/>
      <c r="AB23" s="54" t="e">
        <f>+AB20*1000/(AB18*AB21)*100</f>
        <v>#DIV/0!</v>
      </c>
      <c r="AC23" s="54" t="e">
        <f>+AC20*1000/(AC18*AC21)*100</f>
        <v>#DIV/0!</v>
      </c>
      <c r="AD23" s="54"/>
      <c r="AE23" s="54" t="e">
        <f>+AE20*1000/(AE18*AE21)*100</f>
        <v>#DIV/0!</v>
      </c>
      <c r="AF23" s="54" t="e">
        <f>+AF20*1000/(AF18*AF21)*100</f>
        <v>#DIV/0!</v>
      </c>
      <c r="AG23" s="54"/>
      <c r="AH23" s="54" t="e">
        <f>+AH20*1000/(AH18*AH21)*100</f>
        <v>#DIV/0!</v>
      </c>
      <c r="AI23" s="54" t="e">
        <f>+AI20*1000/(AI18*AI21)*100</f>
        <v>#DIV/0!</v>
      </c>
      <c r="AJ23" s="54"/>
      <c r="AK23" s="54" t="e">
        <f>+AK20*1000/(AK18*AK21)*100</f>
        <v>#DIV/0!</v>
      </c>
      <c r="AL23" s="19"/>
      <c r="AM23" s="19"/>
      <c r="AN23" s="19"/>
      <c r="AO23" s="19"/>
      <c r="AP23" s="55">
        <f>+AP20/(AP18*AP21)*1000*100</f>
        <v>13.688707769159988</v>
      </c>
      <c r="AQ23" s="54">
        <f>+AQ20*1000/(AQ18*AQ21)*100</f>
        <v>13.688707769159986</v>
      </c>
      <c r="AR23" s="77"/>
      <c r="AS23" s="54">
        <f>+AS20*1000/(AS18*AS21)*100</f>
        <v>13.688707769159986</v>
      </c>
      <c r="AT23" s="54">
        <f>+AT20*1000/(AT18*AT21)*100</f>
        <v>13.688707769159986</v>
      </c>
    </row>
    <row r="24" spans="2:47">
      <c r="B24" s="21" t="s">
        <v>44</v>
      </c>
      <c r="C24" s="10"/>
      <c r="D24" s="54">
        <f>+D20/D18*1000</f>
        <v>4.163345070422535</v>
      </c>
      <c r="E24" s="54">
        <f>+E20/E18*1000</f>
        <v>4.7455185659411008</v>
      </c>
      <c r="F24" s="81"/>
      <c r="G24" s="54">
        <f>+G20/G18*1000</f>
        <v>4.9647042173789986</v>
      </c>
      <c r="H24" s="54">
        <f>+H20/H18*1000</f>
        <v>4.9629210302858757</v>
      </c>
      <c r="I24" s="81"/>
      <c r="J24" s="54">
        <f>+J20/J18*1000</f>
        <v>5.2615605178555906</v>
      </c>
      <c r="K24" s="54">
        <f>+K20/K18*1000</f>
        <v>5.2615631245112517</v>
      </c>
      <c r="L24" s="81"/>
      <c r="M24" s="54">
        <f>+M20/M18*1000</f>
        <v>4.9411690727127802</v>
      </c>
      <c r="N24" s="54">
        <f>+N20/N18*1000</f>
        <v>4.9411681870516349</v>
      </c>
      <c r="O24" s="81"/>
      <c r="P24" s="54">
        <f>+P20/P18*1000</f>
        <v>4.9411615941397047</v>
      </c>
      <c r="Q24" s="54">
        <f>+Q20/Q18*1000</f>
        <v>4.9411615941397047</v>
      </c>
      <c r="R24" s="81"/>
      <c r="S24" s="54">
        <f>+S20/S18*1000</f>
        <v>5.1143869921628689</v>
      </c>
      <c r="T24" s="54">
        <f>+T20/T18*1000</f>
        <v>5.1143833888838843</v>
      </c>
      <c r="U24" s="81"/>
      <c r="V24" s="54" t="e">
        <f>+V20/V18*1000</f>
        <v>#DIV/0!</v>
      </c>
      <c r="W24" s="54" t="e">
        <f>+W20/W18*1000</f>
        <v>#DIV/0!</v>
      </c>
      <c r="X24" s="81"/>
      <c r="Y24" s="54" t="e">
        <f>+Y20/Y18*1000</f>
        <v>#DIV/0!</v>
      </c>
      <c r="Z24" s="54" t="e">
        <f>+Z20/Z18*1000</f>
        <v>#DIV/0!</v>
      </c>
      <c r="AA24" s="54"/>
      <c r="AB24" s="54" t="e">
        <f>+AB20/AB18*1000</f>
        <v>#DIV/0!</v>
      </c>
      <c r="AC24" s="54" t="e">
        <f>+AC20/AC18*1000</f>
        <v>#DIV/0!</v>
      </c>
      <c r="AD24" s="54"/>
      <c r="AE24" s="54" t="e">
        <f>+AE20/AE18*1000</f>
        <v>#DIV/0!</v>
      </c>
      <c r="AF24" s="54" t="e">
        <f>+AF20/AF18*1000</f>
        <v>#DIV/0!</v>
      </c>
      <c r="AG24" s="54"/>
      <c r="AH24" s="54" t="e">
        <f>+AH20/AH18*1000</f>
        <v>#DIV/0!</v>
      </c>
      <c r="AI24" s="54" t="e">
        <f>+AI20/AI18*1000</f>
        <v>#DIV/0!</v>
      </c>
      <c r="AJ24" s="54"/>
      <c r="AK24" s="54" t="e">
        <f>+AK20/AK18*1000</f>
        <v>#DIV/0!</v>
      </c>
      <c r="AL24" s="19"/>
      <c r="AM24" s="19"/>
      <c r="AN24" s="19"/>
      <c r="AO24" s="19"/>
      <c r="AP24" s="54">
        <f>+AP20/AP18*1000</f>
        <v>4.8847875494792801</v>
      </c>
      <c r="AQ24" s="54">
        <f>+AQ20/AQ18*1000</f>
        <v>4.9907706352336296</v>
      </c>
      <c r="AR24" s="77"/>
      <c r="AS24" s="54">
        <f>+AS20/AS18*1000</f>
        <v>4.8847875494792801</v>
      </c>
      <c r="AT24" s="54">
        <f>+AT20/AT18*1000</f>
        <v>4.9907706352336296</v>
      </c>
    </row>
    <row r="25" spans="2:47" ht="7.5" customHeight="1">
      <c r="B25" s="19"/>
      <c r="Z25" s="78"/>
      <c r="AA25" s="78"/>
    </row>
    <row r="26" spans="2:47" ht="12.75" customHeight="1">
      <c r="B26" s="20" t="s">
        <v>46</v>
      </c>
      <c r="F26" s="95">
        <v>4</v>
      </c>
      <c r="I26" s="95">
        <v>4</v>
      </c>
      <c r="L26" s="95">
        <v>4</v>
      </c>
      <c r="O26" s="95">
        <v>4</v>
      </c>
      <c r="R26" s="95">
        <v>4</v>
      </c>
      <c r="U26" s="95">
        <v>4</v>
      </c>
      <c r="X26" s="95">
        <v>0</v>
      </c>
      <c r="Z26" s="78"/>
      <c r="AA26" s="95">
        <v>0</v>
      </c>
      <c r="AD26" s="95">
        <v>0</v>
      </c>
      <c r="AG26" s="95">
        <v>0</v>
      </c>
      <c r="AJ26" s="95">
        <v>0</v>
      </c>
      <c r="AM26" s="100">
        <v>0</v>
      </c>
      <c r="AR26" s="96">
        <f>+(X26*8+AD26+AG26+AJ26+AM26+AA26+U26+R26+O26+L26+I26+F26)/AS4</f>
        <v>4</v>
      </c>
      <c r="AU26" s="20">
        <f>+AR26</f>
        <v>4</v>
      </c>
    </row>
    <row r="27" spans="2:47" ht="15" customHeight="1">
      <c r="B27" s="20" t="s">
        <v>36</v>
      </c>
      <c r="D27" s="11">
        <f>5.36+8</f>
        <v>13.36</v>
      </c>
      <c r="E27" s="11"/>
      <c r="F27" s="11">
        <f>+D27/F26</f>
        <v>3.34</v>
      </c>
      <c r="G27" s="11">
        <v>9</v>
      </c>
      <c r="H27" s="11"/>
      <c r="I27" s="11">
        <f>+G27/I26</f>
        <v>2.25</v>
      </c>
      <c r="J27" s="11">
        <v>4</v>
      </c>
      <c r="K27" s="11"/>
      <c r="L27" s="11">
        <f>+J27/L26</f>
        <v>1</v>
      </c>
      <c r="M27" s="11">
        <v>2</v>
      </c>
      <c r="N27" s="11"/>
      <c r="O27" s="11">
        <f>+M27/O26</f>
        <v>0.5</v>
      </c>
      <c r="P27" s="11">
        <v>7</v>
      </c>
      <c r="Q27" s="11"/>
      <c r="R27" s="11">
        <f>+P27/R26</f>
        <v>1.75</v>
      </c>
      <c r="S27" s="11">
        <v>4</v>
      </c>
      <c r="T27" s="11"/>
      <c r="U27" s="11">
        <f>+S27/U26</f>
        <v>1</v>
      </c>
      <c r="V27" s="11">
        <v>0</v>
      </c>
      <c r="W27" s="11"/>
      <c r="X27" s="11" t="e">
        <f>+V27/X26</f>
        <v>#DIV/0!</v>
      </c>
      <c r="Y27" s="11">
        <v>0</v>
      </c>
      <c r="Z27" s="74"/>
      <c r="AA27" s="11" t="e">
        <f>+Y27/AA26</f>
        <v>#DIV/0!</v>
      </c>
      <c r="AB27" s="11">
        <v>0</v>
      </c>
      <c r="AC27" s="11"/>
      <c r="AD27" s="11" t="e">
        <f>+AB27/AD26</f>
        <v>#DIV/0!</v>
      </c>
      <c r="AE27" s="11">
        <v>0</v>
      </c>
      <c r="AF27" s="11"/>
      <c r="AG27" s="11" t="e">
        <f>+AE27/AG26</f>
        <v>#DIV/0!</v>
      </c>
      <c r="AH27" s="11">
        <v>0</v>
      </c>
      <c r="AI27" s="11"/>
      <c r="AJ27" s="11" t="e">
        <f>+AH27/AJ26</f>
        <v>#DIV/0!</v>
      </c>
      <c r="AK27" s="11">
        <v>0</v>
      </c>
      <c r="AM27" s="11" t="e">
        <f>+AK27/AM26</f>
        <v>#DIV/0!</v>
      </c>
      <c r="AP27" s="27">
        <f t="shared" ref="AP27:AP31" si="15">+V27+AB27+AE27+AH27+AK27+Y27+S27+P27+M27+J27+G27+D27</f>
        <v>39.36</v>
      </c>
      <c r="AR27" s="11">
        <f>+AP27/AR26</f>
        <v>9.84</v>
      </c>
      <c r="AS27" s="16">
        <f t="shared" ref="AS27:AS31" si="16">+AP27/$AS$4</f>
        <v>6.56</v>
      </c>
      <c r="AU27" s="11">
        <f>+AS27/AU26</f>
        <v>1.64</v>
      </c>
    </row>
    <row r="28" spans="2:47" ht="15" customHeight="1">
      <c r="B28" s="20" t="s">
        <v>39</v>
      </c>
      <c r="D28" s="11">
        <v>704</v>
      </c>
      <c r="E28" s="11"/>
      <c r="F28" s="11">
        <f>+D28/F26</f>
        <v>176</v>
      </c>
      <c r="G28" s="11">
        <v>640</v>
      </c>
      <c r="H28" s="11"/>
      <c r="I28" s="11">
        <f>+G28/I26</f>
        <v>160</v>
      </c>
      <c r="J28" s="11">
        <v>672</v>
      </c>
      <c r="K28" s="11"/>
      <c r="L28" s="11">
        <f>+J28/L26</f>
        <v>168</v>
      </c>
      <c r="M28" s="11">
        <v>672</v>
      </c>
      <c r="N28" s="11"/>
      <c r="O28" s="11">
        <f>+M28/O26</f>
        <v>168</v>
      </c>
      <c r="P28" s="11">
        <v>640</v>
      </c>
      <c r="Q28" s="11"/>
      <c r="R28" s="11">
        <f>+P28/R26</f>
        <v>160</v>
      </c>
      <c r="S28" s="11">
        <v>672</v>
      </c>
      <c r="T28" s="11"/>
      <c r="U28" s="11">
        <f>+S28/U26</f>
        <v>168</v>
      </c>
      <c r="V28" s="11">
        <v>0</v>
      </c>
      <c r="W28" s="11"/>
      <c r="X28" s="11" t="e">
        <f>+V28/X26</f>
        <v>#DIV/0!</v>
      </c>
      <c r="Y28" s="11">
        <v>0</v>
      </c>
      <c r="Z28" s="74"/>
      <c r="AA28" s="11" t="e">
        <f>+Y28/AA26</f>
        <v>#DIV/0!</v>
      </c>
      <c r="AB28" s="11">
        <v>0</v>
      </c>
      <c r="AC28" s="11"/>
      <c r="AD28" s="11" t="e">
        <f>+AB28/AD26</f>
        <v>#DIV/0!</v>
      </c>
      <c r="AE28" s="11">
        <v>0</v>
      </c>
      <c r="AF28" s="11"/>
      <c r="AG28" s="11" t="e">
        <f>+AE28/AG26</f>
        <v>#DIV/0!</v>
      </c>
      <c r="AH28" s="11">
        <v>0</v>
      </c>
      <c r="AI28" s="11"/>
      <c r="AJ28" s="11" t="e">
        <f>+AH28/AJ26</f>
        <v>#DIV/0!</v>
      </c>
      <c r="AK28" s="11">
        <v>0</v>
      </c>
      <c r="AM28" s="11" t="e">
        <f>+AK28/AM26</f>
        <v>#DIV/0!</v>
      </c>
      <c r="AP28" s="27">
        <f t="shared" si="15"/>
        <v>4000</v>
      </c>
      <c r="AR28" s="11">
        <f>+AP28/AR26</f>
        <v>1000</v>
      </c>
      <c r="AS28" s="16">
        <f t="shared" si="16"/>
        <v>666.66666666666663</v>
      </c>
      <c r="AU28" s="11">
        <f>+AS28/AU26</f>
        <v>166.66666666666666</v>
      </c>
    </row>
    <row r="29" spans="2:47" ht="15" customHeight="1">
      <c r="B29" s="21" t="s">
        <v>40</v>
      </c>
      <c r="D29" s="38">
        <f>+D27/D28</f>
        <v>1.8977272727272728E-2</v>
      </c>
      <c r="E29" s="8"/>
      <c r="F29" s="38">
        <f>+F27/F28</f>
        <v>1.8977272727272728E-2</v>
      </c>
      <c r="G29" s="38">
        <f>+G27/G28</f>
        <v>1.40625E-2</v>
      </c>
      <c r="H29" s="8"/>
      <c r="I29" s="38">
        <f>+I27/I28</f>
        <v>1.40625E-2</v>
      </c>
      <c r="J29" s="38">
        <f>+J27/J28</f>
        <v>5.9523809523809521E-3</v>
      </c>
      <c r="K29" s="8"/>
      <c r="L29" s="38">
        <f>+L27/L28</f>
        <v>5.9523809523809521E-3</v>
      </c>
      <c r="M29" s="38">
        <f>+M27/M28</f>
        <v>2.976190476190476E-3</v>
      </c>
      <c r="N29" s="8"/>
      <c r="O29" s="38">
        <f>+O27/O28</f>
        <v>2.976190476190476E-3</v>
      </c>
      <c r="P29" s="38">
        <f>+P27/P28</f>
        <v>1.0937499999999999E-2</v>
      </c>
      <c r="Q29" s="8"/>
      <c r="R29" s="38">
        <f>+R27/R28</f>
        <v>1.0937499999999999E-2</v>
      </c>
      <c r="S29" s="38">
        <f>+S27/S28</f>
        <v>5.9523809523809521E-3</v>
      </c>
      <c r="T29" s="8"/>
      <c r="U29" s="38">
        <f>+U27/U28</f>
        <v>5.9523809523809521E-3</v>
      </c>
      <c r="V29" s="38" t="e">
        <f>+V27/V28</f>
        <v>#DIV/0!</v>
      </c>
      <c r="W29" s="8"/>
      <c r="X29" s="38" t="e">
        <f>+X27/X28</f>
        <v>#DIV/0!</v>
      </c>
      <c r="Y29" s="38" t="e">
        <f>+Y27/Y28</f>
        <v>#DIV/0!</v>
      </c>
      <c r="Z29" s="74"/>
      <c r="AA29" s="38" t="e">
        <f>+AA27/AA28</f>
        <v>#DIV/0!</v>
      </c>
      <c r="AB29" s="38" t="e">
        <f>+AB27/AB28</f>
        <v>#DIV/0!</v>
      </c>
      <c r="AC29" s="8"/>
      <c r="AD29" s="38" t="e">
        <f>+AD27/AD28</f>
        <v>#DIV/0!</v>
      </c>
      <c r="AE29" s="38" t="e">
        <f>+AE27/AE28</f>
        <v>#DIV/0!</v>
      </c>
      <c r="AF29" s="8"/>
      <c r="AG29" s="38" t="e">
        <f>+AG27/AG28</f>
        <v>#DIV/0!</v>
      </c>
      <c r="AH29" s="38" t="e">
        <f>+AH27/AH28</f>
        <v>#DIV/0!</v>
      </c>
      <c r="AI29" s="8"/>
      <c r="AJ29" s="38" t="e">
        <f>+AJ27/AJ28</f>
        <v>#DIV/0!</v>
      </c>
      <c r="AK29" s="38" t="e">
        <f>+AK27/AK28</f>
        <v>#DIV/0!</v>
      </c>
      <c r="AM29" s="38" t="e">
        <f>+AM27/AM28</f>
        <v>#DIV/0!</v>
      </c>
      <c r="AP29" s="38">
        <f>+AP27/AP28</f>
        <v>9.8399999999999998E-3</v>
      </c>
      <c r="AR29" s="38">
        <f>+AR27/AR28</f>
        <v>9.8399999999999998E-3</v>
      </c>
      <c r="AS29" s="38">
        <f>+AS27/AS28</f>
        <v>9.8399999999999998E-3</v>
      </c>
      <c r="AU29" s="38">
        <f>+AU27/AU28</f>
        <v>9.8399999999999998E-3</v>
      </c>
    </row>
    <row r="30" spans="2:47" ht="15" customHeight="1">
      <c r="B30" s="20" t="s">
        <v>32</v>
      </c>
      <c r="D30" s="11">
        <v>30.017199999999999</v>
      </c>
      <c r="E30" s="11"/>
      <c r="F30" s="11">
        <f>+D30/F26</f>
        <v>7.5042999999999997</v>
      </c>
      <c r="G30" s="11">
        <v>100.02</v>
      </c>
      <c r="H30" s="11"/>
      <c r="I30" s="11">
        <f>+G30/I26</f>
        <v>25.004999999999999</v>
      </c>
      <c r="J30" s="11">
        <v>15.01</v>
      </c>
      <c r="K30" s="11"/>
      <c r="L30" s="11">
        <f>+J30/L26</f>
        <v>3.7524999999999999</v>
      </c>
      <c r="M30" s="11">
        <v>10.01</v>
      </c>
      <c r="N30" s="11"/>
      <c r="O30" s="11">
        <f>+M30/O26</f>
        <v>2.5024999999999999</v>
      </c>
      <c r="P30" s="11">
        <v>10.01</v>
      </c>
      <c r="Q30" s="11"/>
      <c r="R30" s="11">
        <f>+P30/R26</f>
        <v>2.5024999999999999</v>
      </c>
      <c r="S30" s="11">
        <v>10</v>
      </c>
      <c r="T30" s="11"/>
      <c r="U30" s="11">
        <f>+S30/U26</f>
        <v>2.5</v>
      </c>
      <c r="V30" s="11">
        <v>0</v>
      </c>
      <c r="W30" s="11"/>
      <c r="X30" s="11" t="e">
        <f>+V30/X26</f>
        <v>#DIV/0!</v>
      </c>
      <c r="Y30" s="11">
        <v>0</v>
      </c>
      <c r="Z30" s="74"/>
      <c r="AA30" s="11" t="e">
        <f>+Y30/AA26</f>
        <v>#DIV/0!</v>
      </c>
      <c r="AB30" s="11">
        <v>0</v>
      </c>
      <c r="AC30" s="11"/>
      <c r="AD30" s="11" t="e">
        <f>+AB30/AD26</f>
        <v>#DIV/0!</v>
      </c>
      <c r="AE30" s="11">
        <v>0</v>
      </c>
      <c r="AF30" s="11"/>
      <c r="AG30" s="11" t="e">
        <f>+AE30/AG26</f>
        <v>#DIV/0!</v>
      </c>
      <c r="AH30" s="11">
        <v>0</v>
      </c>
      <c r="AI30" s="11"/>
      <c r="AJ30" s="11" t="e">
        <f>+AH30/AJ26</f>
        <v>#DIV/0!</v>
      </c>
      <c r="AK30" s="11">
        <v>0</v>
      </c>
      <c r="AM30" s="11" t="e">
        <f>+AK30/AM26</f>
        <v>#DIV/0!</v>
      </c>
      <c r="AP30" s="27">
        <f t="shared" si="15"/>
        <v>175.06719999999999</v>
      </c>
      <c r="AR30" s="11">
        <f>+AP30/AR26</f>
        <v>43.766799999999996</v>
      </c>
      <c r="AS30" s="16">
        <f t="shared" si="16"/>
        <v>29.177866666666663</v>
      </c>
      <c r="AU30" s="11">
        <f>+AS30/AU26</f>
        <v>7.2944666666666658</v>
      </c>
    </row>
    <row r="31" spans="2:47" ht="15" customHeight="1">
      <c r="B31" s="20" t="s">
        <v>33</v>
      </c>
      <c r="D31" s="11">
        <v>11.9566</v>
      </c>
      <c r="E31" s="27"/>
      <c r="F31" s="11">
        <f>+D31/F26</f>
        <v>2.98915</v>
      </c>
      <c r="G31" s="11">
        <v>3.7953000000000001</v>
      </c>
      <c r="H31" s="27"/>
      <c r="I31" s="11">
        <f>+G31/I26</f>
        <v>0.94882500000000003</v>
      </c>
      <c r="J31" s="11">
        <v>0.53890000000000005</v>
      </c>
      <c r="K31" s="27"/>
      <c r="L31" s="11">
        <f>+J31/L26</f>
        <v>0.13472500000000001</v>
      </c>
      <c r="M31" s="11">
        <v>0.35539999999999999</v>
      </c>
      <c r="N31" s="27"/>
      <c r="O31" s="11">
        <f>+M31/O26</f>
        <v>8.8849999999999998E-2</v>
      </c>
      <c r="P31" s="11">
        <v>0.3624</v>
      </c>
      <c r="Q31" s="27"/>
      <c r="R31" s="11">
        <f>+P31/R26</f>
        <v>9.06E-2</v>
      </c>
      <c r="S31" s="11">
        <v>0.35898999999999998</v>
      </c>
      <c r="T31" s="27"/>
      <c r="U31" s="11">
        <f>+S31/U26</f>
        <v>8.9747499999999994E-2</v>
      </c>
      <c r="V31" s="11">
        <v>0</v>
      </c>
      <c r="W31" s="27"/>
      <c r="X31" s="11" t="e">
        <f>+V31/X26</f>
        <v>#DIV/0!</v>
      </c>
      <c r="Y31" s="11">
        <v>0</v>
      </c>
      <c r="Z31" s="74"/>
      <c r="AA31" s="11" t="e">
        <f>+Y31/AA26</f>
        <v>#DIV/0!</v>
      </c>
      <c r="AB31" s="11">
        <v>0</v>
      </c>
      <c r="AC31" s="27"/>
      <c r="AD31" s="11" t="e">
        <f>+AB31/AD26</f>
        <v>#DIV/0!</v>
      </c>
      <c r="AE31" s="11">
        <v>0</v>
      </c>
      <c r="AF31" s="27"/>
      <c r="AG31" s="11" t="e">
        <f>+AE31/AG26</f>
        <v>#DIV/0!</v>
      </c>
      <c r="AH31" s="11">
        <v>0</v>
      </c>
      <c r="AI31" s="27"/>
      <c r="AJ31" s="11" t="e">
        <f>+AH31/AJ26</f>
        <v>#DIV/0!</v>
      </c>
      <c r="AK31" s="11">
        <v>0</v>
      </c>
      <c r="AM31" s="11" t="e">
        <f>+AK31/AM26</f>
        <v>#DIV/0!</v>
      </c>
      <c r="AP31" s="27">
        <f t="shared" si="15"/>
        <v>17.36759</v>
      </c>
      <c r="AR31" s="11">
        <f>+AP31/AR26</f>
        <v>4.3418975</v>
      </c>
      <c r="AS31" s="16">
        <f t="shared" si="16"/>
        <v>2.8945983333333332</v>
      </c>
      <c r="AU31" s="11">
        <f>+AS31/AU26</f>
        <v>0.72364958333333329</v>
      </c>
    </row>
    <row r="32" spans="2:47" ht="15" customHeight="1">
      <c r="B32" s="21" t="s">
        <v>34</v>
      </c>
      <c r="D32" s="50">
        <f>+D31/D30*1000</f>
        <v>398.32496035606249</v>
      </c>
      <c r="G32" s="50">
        <f>+G31/G30*1000</f>
        <v>37.945410917816439</v>
      </c>
      <c r="J32" s="50">
        <f>+J31/J30*1000</f>
        <v>35.902731512325119</v>
      </c>
      <c r="M32" s="50">
        <f>+M31/M30*1000</f>
        <v>35.504495504495502</v>
      </c>
      <c r="P32" s="50">
        <f>+P31/P30*1000</f>
        <v>36.203796203796209</v>
      </c>
      <c r="S32" s="50">
        <f>+S31/S30*1000</f>
        <v>35.899000000000001</v>
      </c>
      <c r="V32" s="50" t="e">
        <f>+V31/V30*1000</f>
        <v>#DIV/0!</v>
      </c>
      <c r="Y32" s="50" t="e">
        <f>+Y31/Y30*1000</f>
        <v>#DIV/0!</v>
      </c>
      <c r="Z32" s="78"/>
      <c r="AA32" s="78"/>
      <c r="AB32" s="50" t="e">
        <f>+AB31/AB30*1000</f>
        <v>#DIV/0!</v>
      </c>
      <c r="AE32" s="50" t="e">
        <f>+AE31/AE30*1000</f>
        <v>#DIV/0!</v>
      </c>
      <c r="AH32" s="50" t="e">
        <f>+AH31/AH30*1000</f>
        <v>#DIV/0!</v>
      </c>
      <c r="AK32" s="50" t="e">
        <f>+AK31/AK30*1000</f>
        <v>#DIV/0!</v>
      </c>
      <c r="AP32" s="50">
        <f>+AP31/AP30*1000</f>
        <v>99.205276602356136</v>
      </c>
      <c r="AS32" s="50">
        <f>+AS31/AS30*1000</f>
        <v>99.205276602356136</v>
      </c>
    </row>
    <row r="33" spans="2:46" ht="15" customHeight="1">
      <c r="B33" s="21" t="s">
        <v>35</v>
      </c>
      <c r="D33" s="52">
        <f>+D30/D27</f>
        <v>2.2467964071856286</v>
      </c>
      <c r="G33" s="52">
        <f>+G30/G27</f>
        <v>11.113333333333333</v>
      </c>
      <c r="J33" s="52">
        <f>+J30/J27</f>
        <v>3.7524999999999999</v>
      </c>
      <c r="M33" s="52">
        <f>+M30/M27</f>
        <v>5.0049999999999999</v>
      </c>
      <c r="P33" s="52">
        <f>+P30/P27</f>
        <v>1.43</v>
      </c>
      <c r="S33" s="52">
        <f>+S30/S27</f>
        <v>2.5</v>
      </c>
      <c r="V33" s="52" t="e">
        <f>+V30/V27</f>
        <v>#DIV/0!</v>
      </c>
      <c r="Y33" s="52" t="e">
        <f>+Y30/Y27</f>
        <v>#DIV/0!</v>
      </c>
      <c r="Z33" s="70"/>
      <c r="AA33" s="70"/>
      <c r="AB33" s="52" t="e">
        <f>+AB30/AB27</f>
        <v>#DIV/0!</v>
      </c>
      <c r="AE33" s="52" t="e">
        <f>+AE30/AE27</f>
        <v>#DIV/0!</v>
      </c>
      <c r="AH33" s="52" t="e">
        <f>+AH30/AH27</f>
        <v>#DIV/0!</v>
      </c>
      <c r="AK33" s="52" t="e">
        <f>+AK30/AK27</f>
        <v>#DIV/0!</v>
      </c>
      <c r="AP33" s="52">
        <f>+AP30/AP27</f>
        <v>4.447845528455284</v>
      </c>
      <c r="AS33" s="52">
        <f>+AS30/AS27</f>
        <v>4.447845528455284</v>
      </c>
    </row>
    <row r="34" spans="2:46" ht="15" customHeight="1">
      <c r="B34" s="10" t="s">
        <v>37</v>
      </c>
      <c r="D34" s="54">
        <f>+D31*1000/(D27*D32)*100</f>
        <v>224.67964071856289</v>
      </c>
      <c r="G34" s="54">
        <f>+G31*1000/(G27*G32)*100</f>
        <v>1111.3333333333333</v>
      </c>
      <c r="J34" s="54">
        <f>+J31*1000/(J27*J32)*100</f>
        <v>375.25000000000006</v>
      </c>
      <c r="M34" s="54">
        <f>+M31*1000/(M27*M32)*100</f>
        <v>500.5</v>
      </c>
      <c r="P34" s="54">
        <f>+P31*1000/(P27*P32)*100</f>
        <v>142.99999999999997</v>
      </c>
      <c r="S34" s="54">
        <f>+S31*1000/(S27*S32)*100</f>
        <v>249.99999999999994</v>
      </c>
      <c r="V34" s="54" t="e">
        <f>+V31*1000/(V27*V32)*100</f>
        <v>#DIV/0!</v>
      </c>
      <c r="Y34" s="54" t="e">
        <f>+Y31*1000/(Y27*Y32)*100</f>
        <v>#DIV/0!</v>
      </c>
      <c r="Z34" s="70"/>
      <c r="AA34" s="70"/>
      <c r="AB34" s="54" t="e">
        <f>+AB31*1000/(AB27*AB32)*100</f>
        <v>#DIV/0!</v>
      </c>
      <c r="AE34" s="54" t="e">
        <f>+AE31*1000/(AE27*AE32)*100</f>
        <v>#DIV/0!</v>
      </c>
      <c r="AH34" s="54" t="e">
        <f>+AH31*1000/(AH27*AH32)*100</f>
        <v>#DIV/0!</v>
      </c>
      <c r="AK34" s="54" t="e">
        <f>+AK31*1000/(AK27*AK32)*100</f>
        <v>#DIV/0!</v>
      </c>
      <c r="AP34" s="54">
        <f>+AP31*1000/(AP27*AP32)*100</f>
        <v>444.78455284552842</v>
      </c>
      <c r="AS34" s="54">
        <f>+AS31*1000/(AS27*AS32)*100</f>
        <v>444.78455284552842</v>
      </c>
    </row>
    <row r="35" spans="2:46" ht="15" customHeight="1">
      <c r="B35" s="21" t="s">
        <v>45</v>
      </c>
      <c r="C35" s="10"/>
      <c r="D35" s="54">
        <f>+D31/D27*1000</f>
        <v>894.95508982035926</v>
      </c>
      <c r="E35" s="54"/>
      <c r="G35" s="54">
        <f>+G31/G27*1000</f>
        <v>421.70000000000005</v>
      </c>
      <c r="H35" s="54"/>
      <c r="J35" s="54">
        <f>+J31/J27*1000</f>
        <v>134.72500000000002</v>
      </c>
      <c r="K35" s="54"/>
      <c r="M35" s="54">
        <f>+M31/M27*1000</f>
        <v>177.7</v>
      </c>
      <c r="N35" s="54"/>
      <c r="P35" s="54">
        <f>+P31/P27*1000</f>
        <v>51.771428571428572</v>
      </c>
      <c r="Q35" s="54"/>
      <c r="S35" s="54">
        <f>+S31/S27*1000</f>
        <v>89.747499999999988</v>
      </c>
      <c r="T35" s="54"/>
      <c r="V35" s="54" t="e">
        <f>+V31/V27*1000</f>
        <v>#DIV/0!</v>
      </c>
      <c r="W35" s="54"/>
      <c r="Y35" s="54" t="e">
        <f>+Y31/Y27*1000</f>
        <v>#DIV/0!</v>
      </c>
      <c r="Z35" s="70"/>
      <c r="AA35" s="70"/>
      <c r="AB35" s="54" t="e">
        <f>+AB31/AB27*1000</f>
        <v>#DIV/0!</v>
      </c>
      <c r="AE35" s="54" t="e">
        <f>+AE31/AE27*1000</f>
        <v>#DIV/0!</v>
      </c>
      <c r="AH35" s="54" t="e">
        <f>+AH31/AH27*1000</f>
        <v>#DIV/0!</v>
      </c>
      <c r="AK35" s="54" t="e">
        <f>+AK31/AK27*1000</f>
        <v>#DIV/0!</v>
      </c>
      <c r="AP35" s="54">
        <f>+AP31/AP27*1000</f>
        <v>441.24974593495938</v>
      </c>
      <c r="AS35" s="54">
        <f>+AS31/AS27*1000</f>
        <v>441.24974593495938</v>
      </c>
    </row>
    <row r="36" spans="2:46" ht="7.5" customHeight="1">
      <c r="B36" s="19"/>
      <c r="Z36" s="70"/>
      <c r="AA36" s="70"/>
    </row>
    <row r="37" spans="2:46">
      <c r="B37" s="23" t="s">
        <v>38</v>
      </c>
      <c r="C37" s="22"/>
      <c r="D37" s="24">
        <f>+D8/(1-D6/D5)</f>
        <v>745.67566664740752</v>
      </c>
      <c r="G37" s="24">
        <f>+G8/(1-G6/G5)</f>
        <v>680.21838718541687</v>
      </c>
      <c r="J37" s="24">
        <f>+J8/(1-J6/J5)</f>
        <v>765.05966891555545</v>
      </c>
      <c r="M37" s="24">
        <f>+M8/(1-M6/M5)</f>
        <v>880.04669193682173</v>
      </c>
      <c r="P37" s="24">
        <f>+P8/(1-P6/P5)</f>
        <v>759.50240836786429</v>
      </c>
      <c r="S37" s="24">
        <f>+S8/(1-S6/S5)</f>
        <v>754.31612254129334</v>
      </c>
      <c r="V37" s="24" t="e">
        <f>+V8/(1-V6/V5)</f>
        <v>#DIV/0!</v>
      </c>
      <c r="Y37" s="24" t="e">
        <f>+Y8/(1-Y6/Y5)</f>
        <v>#DIV/0!</v>
      </c>
      <c r="Z37" s="70"/>
      <c r="AA37" s="70"/>
      <c r="AB37" s="24" t="e">
        <f>+AB8/(1-AB6/AB5)</f>
        <v>#DIV/0!</v>
      </c>
      <c r="AE37" s="24" t="e">
        <f>+AE8/(1-AE6/AE5)</f>
        <v>#DIV/0!</v>
      </c>
      <c r="AH37" s="24" t="e">
        <f>+AH8/(1-AH6/AH5)</f>
        <v>#DIV/0!</v>
      </c>
      <c r="AK37" s="24" t="e">
        <f>+AK8/(1-AK6/AK5)</f>
        <v>#DIV/0!</v>
      </c>
      <c r="AP37" s="36">
        <f>+AP8/(1-AP6/AP5)</f>
        <v>4576.2578771377075</v>
      </c>
      <c r="AQ37" s="36"/>
      <c r="AR37" s="36"/>
      <c r="AS37" s="36">
        <f>+AS8/(1-AS6/AS5)</f>
        <v>762.70964618961784</v>
      </c>
      <c r="AT37" s="36"/>
    </row>
    <row r="38" spans="2:46">
      <c r="Y38" s="13"/>
    </row>
    <row r="39" spans="2:46">
      <c r="Y39" s="13"/>
    </row>
    <row r="40" spans="2:46">
      <c r="Y40" s="13"/>
    </row>
    <row r="41" spans="2:46">
      <c r="Y41" s="13"/>
    </row>
    <row r="42" spans="2:46">
      <c r="Y42" s="13"/>
    </row>
    <row r="43" spans="2:46">
      <c r="Y43" s="13"/>
    </row>
    <row r="44" spans="2:46">
      <c r="Y44" s="13"/>
    </row>
    <row r="45" spans="2:46">
      <c r="Y45" s="13"/>
    </row>
    <row r="46" spans="2:46">
      <c r="Y46" s="13"/>
    </row>
    <row r="47" spans="2:46">
      <c r="Y47" s="13"/>
    </row>
    <row r="48" spans="2:46">
      <c r="Y48" s="13"/>
    </row>
    <row r="49" spans="25:25">
      <c r="Y49" s="13"/>
    </row>
    <row r="50" spans="25:25">
      <c r="Y50" s="13"/>
    </row>
    <row r="51" spans="25:25">
      <c r="Y51" s="13"/>
    </row>
    <row r="52" spans="25:25">
      <c r="Y52" s="13"/>
    </row>
    <row r="53" spans="25:25">
      <c r="Y53" s="13"/>
    </row>
    <row r="54" spans="25:25">
      <c r="Y54" s="13"/>
    </row>
    <row r="55" spans="25:25">
      <c r="Y55" s="13"/>
    </row>
    <row r="56" spans="25:25">
      <c r="Y56" s="13"/>
    </row>
    <row r="57" spans="25:25">
      <c r="Y57" s="13"/>
    </row>
    <row r="58" spans="25:25">
      <c r="Y58" s="13"/>
    </row>
    <row r="59" spans="25:25">
      <c r="Y59" s="13"/>
    </row>
    <row r="60" spans="25:25">
      <c r="Y60" s="13"/>
    </row>
    <row r="61" spans="25:25">
      <c r="Y61" s="13"/>
    </row>
    <row r="62" spans="25:25">
      <c r="Y62" s="13"/>
    </row>
    <row r="63" spans="25:25">
      <c r="Y63" s="13"/>
    </row>
    <row r="64" spans="25:25">
      <c r="Y64" s="13"/>
    </row>
    <row r="65" spans="25:25">
      <c r="Y65" s="13"/>
    </row>
    <row r="66" spans="25:25">
      <c r="Y66" s="13"/>
    </row>
    <row r="67" spans="25:25">
      <c r="Y67" s="13"/>
    </row>
    <row r="68" spans="25:25">
      <c r="Y68" s="13"/>
    </row>
    <row r="69" spans="25:25">
      <c r="Y69" s="13"/>
    </row>
    <row r="70" spans="25:25">
      <c r="Y70" s="13"/>
    </row>
    <row r="71" spans="25:25">
      <c r="Y71" s="13"/>
    </row>
    <row r="72" spans="25:25">
      <c r="Y72" s="13"/>
    </row>
    <row r="73" spans="25:25">
      <c r="Y73" s="13"/>
    </row>
    <row r="74" spans="25:25">
      <c r="Y74" s="13"/>
    </row>
    <row r="75" spans="25:25">
      <c r="Y75" s="13"/>
    </row>
    <row r="76" spans="25:25">
      <c r="Y76" s="13"/>
    </row>
    <row r="77" spans="25:25">
      <c r="Y77" s="13"/>
    </row>
    <row r="78" spans="25:25">
      <c r="Y78" s="13"/>
    </row>
    <row r="79" spans="25:25">
      <c r="Y79" s="13"/>
    </row>
    <row r="80" spans="25:25">
      <c r="Y80" s="13"/>
    </row>
    <row r="81" spans="25:25">
      <c r="Y81" s="13"/>
    </row>
    <row r="82" spans="25:25">
      <c r="Y82" s="13"/>
    </row>
    <row r="83" spans="25:25">
      <c r="Y83" s="13"/>
    </row>
    <row r="84" spans="25:25">
      <c r="Y84" s="13"/>
    </row>
    <row r="85" spans="25:25">
      <c r="Y85" s="13"/>
    </row>
    <row r="86" spans="25:25">
      <c r="Y86" s="13"/>
    </row>
    <row r="87" spans="25:25">
      <c r="Y87" s="13"/>
    </row>
    <row r="88" spans="25:25">
      <c r="Y88" s="13"/>
    </row>
    <row r="89" spans="25:25">
      <c r="Y89" s="13"/>
    </row>
  </sheetData>
  <pageMargins left="0.19685039370078741" right="0.15748031496062992" top="0.47244094488188981" bottom="0.78740157480314965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89"/>
  <sheetViews>
    <sheetView tabSelected="1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S1" sqref="S1"/>
    </sheetView>
  </sheetViews>
  <sheetFormatPr defaultRowHeight="15"/>
  <cols>
    <col min="1" max="1" width="1.7109375" customWidth="1"/>
    <col min="2" max="2" width="26.140625" customWidth="1"/>
    <col min="3" max="3" width="1.7109375" customWidth="1"/>
    <col min="4" max="4" width="13.7109375" customWidth="1"/>
    <col min="5" max="5" width="9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  <c r="Z1" s="57"/>
      <c r="AA1" s="57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</row>
    <row r="2" spans="2:47">
      <c r="B2" s="47" t="s">
        <v>25</v>
      </c>
      <c r="C2" s="56"/>
      <c r="D2" s="3" t="s">
        <v>2</v>
      </c>
      <c r="E2" s="58" t="s">
        <v>18</v>
      </c>
      <c r="F2" s="58" t="s">
        <v>42</v>
      </c>
      <c r="G2" s="3" t="s">
        <v>2</v>
      </c>
      <c r="H2" s="58" t="s">
        <v>18</v>
      </c>
      <c r="I2" s="58" t="s">
        <v>42</v>
      </c>
      <c r="J2" s="3" t="s">
        <v>2</v>
      </c>
      <c r="K2" s="58" t="s">
        <v>18</v>
      </c>
      <c r="L2" s="58" t="s">
        <v>42</v>
      </c>
      <c r="M2" s="3" t="s">
        <v>2</v>
      </c>
      <c r="N2" s="58" t="s">
        <v>18</v>
      </c>
      <c r="O2" s="58" t="s">
        <v>42</v>
      </c>
      <c r="P2" s="3" t="s">
        <v>2</v>
      </c>
      <c r="Q2" s="58" t="s">
        <v>18</v>
      </c>
      <c r="R2" s="58" t="s">
        <v>42</v>
      </c>
      <c r="S2" s="3" t="s">
        <v>2</v>
      </c>
      <c r="T2" s="58" t="s">
        <v>18</v>
      </c>
      <c r="U2" s="58" t="s">
        <v>42</v>
      </c>
      <c r="V2" s="3" t="s">
        <v>2</v>
      </c>
      <c r="W2" s="58" t="s">
        <v>18</v>
      </c>
      <c r="X2" s="58" t="s">
        <v>42</v>
      </c>
      <c r="Y2" s="3" t="s">
        <v>2</v>
      </c>
      <c r="Z2" s="68" t="s">
        <v>18</v>
      </c>
      <c r="AA2" s="58" t="s">
        <v>42</v>
      </c>
      <c r="AB2" s="3" t="s">
        <v>2</v>
      </c>
      <c r="AC2" s="58" t="s">
        <v>8</v>
      </c>
      <c r="AD2" s="58" t="s">
        <v>42</v>
      </c>
      <c r="AE2" s="3" t="s">
        <v>2</v>
      </c>
      <c r="AF2" s="58" t="s">
        <v>8</v>
      </c>
      <c r="AG2" s="58" t="s">
        <v>42</v>
      </c>
      <c r="AH2" s="3" t="s">
        <v>2</v>
      </c>
      <c r="AI2" s="58" t="s">
        <v>8</v>
      </c>
      <c r="AJ2" s="58" t="s">
        <v>42</v>
      </c>
      <c r="AK2" s="3" t="s">
        <v>2</v>
      </c>
      <c r="AL2" s="58" t="s">
        <v>8</v>
      </c>
      <c r="AM2" s="58" t="s">
        <v>42</v>
      </c>
      <c r="AN2" s="56"/>
      <c r="AO2" s="56"/>
      <c r="AP2" s="3" t="s">
        <v>2</v>
      </c>
      <c r="AQ2" s="58" t="s">
        <v>18</v>
      </c>
      <c r="AR2" s="58" t="s">
        <v>42</v>
      </c>
      <c r="AS2" s="48" t="s">
        <v>11</v>
      </c>
      <c r="AT2" s="56"/>
      <c r="AU2" s="58" t="s">
        <v>42</v>
      </c>
    </row>
    <row r="3" spans="2:47">
      <c r="B3" s="48" t="s">
        <v>1</v>
      </c>
      <c r="C3" s="56"/>
      <c r="D3" s="4" t="s">
        <v>58</v>
      </c>
      <c r="E3" s="26" t="s">
        <v>19</v>
      </c>
      <c r="F3" s="3" t="s">
        <v>43</v>
      </c>
      <c r="G3" s="4" t="s">
        <v>59</v>
      </c>
      <c r="H3" s="26" t="s">
        <v>19</v>
      </c>
      <c r="I3" s="3" t="s">
        <v>43</v>
      </c>
      <c r="J3" s="4" t="s">
        <v>57</v>
      </c>
      <c r="K3" s="26" t="s">
        <v>19</v>
      </c>
      <c r="L3" s="3" t="s">
        <v>43</v>
      </c>
      <c r="M3" s="4" t="s">
        <v>56</v>
      </c>
      <c r="N3" s="26" t="s">
        <v>19</v>
      </c>
      <c r="O3" s="3" t="s">
        <v>43</v>
      </c>
      <c r="P3" s="4" t="s">
        <v>55</v>
      </c>
      <c r="Q3" s="26" t="s">
        <v>19</v>
      </c>
      <c r="R3" s="3" t="s">
        <v>43</v>
      </c>
      <c r="S3" s="4" t="s">
        <v>54</v>
      </c>
      <c r="T3" s="26" t="s">
        <v>19</v>
      </c>
      <c r="U3" s="3" t="s">
        <v>43</v>
      </c>
      <c r="V3" s="4" t="s">
        <v>50</v>
      </c>
      <c r="W3" s="26" t="s">
        <v>19</v>
      </c>
      <c r="X3" s="3" t="s">
        <v>43</v>
      </c>
      <c r="Y3" s="4" t="s">
        <v>49</v>
      </c>
      <c r="Z3" s="69" t="s">
        <v>19</v>
      </c>
      <c r="AA3" s="3" t="s">
        <v>43</v>
      </c>
      <c r="AB3" s="4" t="s">
        <v>48</v>
      </c>
      <c r="AC3" s="59" t="s">
        <v>10</v>
      </c>
      <c r="AD3" s="3" t="s">
        <v>43</v>
      </c>
      <c r="AE3" s="4" t="s">
        <v>51</v>
      </c>
      <c r="AF3" s="59" t="s">
        <v>10</v>
      </c>
      <c r="AG3" s="3" t="s">
        <v>43</v>
      </c>
      <c r="AH3" s="4" t="s">
        <v>52</v>
      </c>
      <c r="AI3" s="59" t="s">
        <v>10</v>
      </c>
      <c r="AJ3" s="3" t="s">
        <v>43</v>
      </c>
      <c r="AK3" s="4" t="s">
        <v>53</v>
      </c>
      <c r="AL3" s="59" t="s">
        <v>10</v>
      </c>
      <c r="AM3" s="3" t="s">
        <v>43</v>
      </c>
      <c r="AN3" s="56"/>
      <c r="AO3" s="56"/>
      <c r="AP3" s="4" t="s">
        <v>9</v>
      </c>
      <c r="AQ3" s="26" t="s">
        <v>19</v>
      </c>
      <c r="AR3" s="3" t="s">
        <v>43</v>
      </c>
      <c r="AS3" s="48" t="s">
        <v>24</v>
      </c>
      <c r="AT3" s="26" t="s">
        <v>19</v>
      </c>
      <c r="AU3" s="3" t="s">
        <v>43</v>
      </c>
    </row>
    <row r="4" spans="2:47">
      <c r="B4" s="49">
        <v>9404</v>
      </c>
      <c r="C4" s="56"/>
      <c r="D4" s="56"/>
      <c r="E4" s="3" t="s">
        <v>21</v>
      </c>
      <c r="F4" s="3">
        <v>15</v>
      </c>
      <c r="G4" s="56"/>
      <c r="H4" s="3" t="s">
        <v>21</v>
      </c>
      <c r="I4" s="3">
        <v>15</v>
      </c>
      <c r="J4" s="56"/>
      <c r="K4" s="3" t="s">
        <v>21</v>
      </c>
      <c r="L4" s="3">
        <v>15</v>
      </c>
      <c r="M4" s="56"/>
      <c r="N4" s="3" t="s">
        <v>21</v>
      </c>
      <c r="O4" s="3">
        <v>15</v>
      </c>
      <c r="P4" s="56"/>
      <c r="Q4" s="3" t="s">
        <v>21</v>
      </c>
      <c r="R4" s="3">
        <v>15</v>
      </c>
      <c r="S4" s="56"/>
      <c r="T4" s="3" t="s">
        <v>21</v>
      </c>
      <c r="U4" s="3">
        <v>15</v>
      </c>
      <c r="V4" s="56"/>
      <c r="W4" s="3" t="s">
        <v>21</v>
      </c>
      <c r="X4" s="3">
        <v>0</v>
      </c>
      <c r="Y4" s="56"/>
      <c r="Z4" s="39" t="s">
        <v>21</v>
      </c>
      <c r="AA4" s="3">
        <v>0</v>
      </c>
      <c r="AB4" s="56"/>
      <c r="AC4" s="56"/>
      <c r="AD4" s="3">
        <v>0</v>
      </c>
      <c r="AE4" s="56"/>
      <c r="AF4" s="56"/>
      <c r="AG4" s="48">
        <v>0</v>
      </c>
      <c r="AH4" s="56"/>
      <c r="AI4" s="56"/>
      <c r="AJ4" s="48">
        <v>0</v>
      </c>
      <c r="AK4" s="56"/>
      <c r="AL4" s="56"/>
      <c r="AM4" s="99">
        <v>0</v>
      </c>
      <c r="AN4" s="56"/>
      <c r="AO4" s="56"/>
      <c r="AP4" s="56"/>
      <c r="AQ4" s="3" t="s">
        <v>21</v>
      </c>
      <c r="AR4" s="3">
        <f>+(+AD4+AG4+AJ4+AM4+AA4+X4+U4+R4+O4+L4+I4+F4)/AS4</f>
        <v>15</v>
      </c>
      <c r="AS4" s="48">
        <v>6</v>
      </c>
      <c r="AT4" s="3" t="s">
        <v>21</v>
      </c>
      <c r="AU4" s="3">
        <f>+AR4</f>
        <v>15</v>
      </c>
    </row>
    <row r="5" spans="2:47">
      <c r="B5" s="10" t="s">
        <v>3</v>
      </c>
      <c r="C5" s="19"/>
      <c r="D5" s="9">
        <v>806.02320999999995</v>
      </c>
      <c r="E5" s="61">
        <f>+D5/D5</f>
        <v>1</v>
      </c>
      <c r="F5" s="93">
        <f>+D5/F4</f>
        <v>53.734880666666662</v>
      </c>
      <c r="G5" s="9">
        <f>34.089+717.753</f>
        <v>751.8420000000001</v>
      </c>
      <c r="H5" s="61">
        <f>+G5/G5</f>
        <v>1</v>
      </c>
      <c r="I5" s="93">
        <f>+G5/I4</f>
        <v>50.122800000000005</v>
      </c>
      <c r="J5" s="9">
        <f>38.092+779.939</f>
        <v>818.03099999999995</v>
      </c>
      <c r="K5" s="61">
        <f>+J5/J5</f>
        <v>1</v>
      </c>
      <c r="L5" s="93">
        <f>+J5/L4</f>
        <v>54.535399999999996</v>
      </c>
      <c r="M5" s="9">
        <f>42.30331+769.91808</f>
        <v>812.22139000000004</v>
      </c>
      <c r="N5" s="61">
        <f>+M5/M5</f>
        <v>1</v>
      </c>
      <c r="O5" s="93">
        <f>+M5/O4</f>
        <v>54.14809266666667</v>
      </c>
      <c r="P5" s="9">
        <f>46.638+726.547</f>
        <v>773.18500000000006</v>
      </c>
      <c r="Q5" s="61">
        <f>+P5/P5</f>
        <v>1</v>
      </c>
      <c r="R5" s="93">
        <f>+P5/R4</f>
        <v>51.545666666666669</v>
      </c>
      <c r="S5" s="9">
        <f>37.88851+770.543</f>
        <v>808.43151</v>
      </c>
      <c r="T5" s="61">
        <f>+S5/S5</f>
        <v>1</v>
      </c>
      <c r="U5" s="93">
        <f>+S5/U4</f>
        <v>53.895434000000002</v>
      </c>
      <c r="V5" s="9">
        <v>0</v>
      </c>
      <c r="W5" s="61" t="e">
        <f>+V5/V5</f>
        <v>#DIV/0!</v>
      </c>
      <c r="X5" s="93" t="e">
        <f>+V5/X4</f>
        <v>#DIV/0!</v>
      </c>
      <c r="Y5" s="9">
        <v>0</v>
      </c>
      <c r="Z5" s="71" t="e">
        <f>+Y5/Y5</f>
        <v>#DIV/0!</v>
      </c>
      <c r="AA5" s="93" t="e">
        <f>+Y5/AA4</f>
        <v>#DIV/0!</v>
      </c>
      <c r="AB5" s="9">
        <v>0</v>
      </c>
      <c r="AC5" s="61" t="e">
        <f>+AB5/$AB$5</f>
        <v>#DIV/0!</v>
      </c>
      <c r="AD5" s="93" t="e">
        <f>+AB5/AD4</f>
        <v>#DIV/0!</v>
      </c>
      <c r="AE5" s="9">
        <v>0</v>
      </c>
      <c r="AF5" s="61" t="e">
        <f>+AE5/$AE$5</f>
        <v>#DIV/0!</v>
      </c>
      <c r="AG5" s="93" t="e">
        <f>+AE5/AG4</f>
        <v>#DIV/0!</v>
      </c>
      <c r="AH5" s="9">
        <v>0</v>
      </c>
      <c r="AI5" s="61" t="e">
        <f>+AH5/$AH$5</f>
        <v>#DIV/0!</v>
      </c>
      <c r="AJ5" s="93" t="e">
        <f>+AH5/AJ4</f>
        <v>#DIV/0!</v>
      </c>
      <c r="AK5" s="9">
        <v>0</v>
      </c>
      <c r="AL5" s="61" t="e">
        <f>+AK5/$AK$5</f>
        <v>#DIV/0!</v>
      </c>
      <c r="AM5" s="93" t="e">
        <f>+AK5/AM4</f>
        <v>#DIV/0!</v>
      </c>
      <c r="AN5" s="19"/>
      <c r="AO5" s="19"/>
      <c r="AP5" s="35">
        <f>+V5+AB5+AE5+AH5+AK5+Y5+S5+P5+M5+J5+G5+D5</f>
        <v>4769.7341100000003</v>
      </c>
      <c r="AQ5" s="71">
        <f>+AP5/$AP$5</f>
        <v>1</v>
      </c>
      <c r="AR5" s="93">
        <f>+AP5/AR4</f>
        <v>317.98227400000002</v>
      </c>
      <c r="AS5" s="35">
        <f>+AP5/$AS$4</f>
        <v>794.95568500000002</v>
      </c>
      <c r="AT5" s="64"/>
      <c r="AU5" s="93">
        <f>+AS5/AU4</f>
        <v>52.997045666666665</v>
      </c>
    </row>
    <row r="6" spans="2:47">
      <c r="B6" s="7" t="s">
        <v>4</v>
      </c>
      <c r="C6" s="19"/>
      <c r="D6" s="11">
        <v>118.066</v>
      </c>
      <c r="E6" s="62">
        <f>+D6/D5</f>
        <v>0.14647965286260181</v>
      </c>
      <c r="F6" s="94">
        <f>+D6/F4</f>
        <v>7.8710666666666667</v>
      </c>
      <c r="G6" s="11">
        <f>3.259+43.486+0.40873+30.688</f>
        <v>77.841729999999998</v>
      </c>
      <c r="H6" s="62">
        <f>+G6/G5</f>
        <v>0.10353469212946335</v>
      </c>
      <c r="I6" s="94">
        <f>+G6/I4</f>
        <v>5.1894486666666664</v>
      </c>
      <c r="J6" s="11">
        <f>3.4925+47.2591+0.18949+117.556</f>
        <v>168.49708999999999</v>
      </c>
      <c r="K6" s="62">
        <f>+J6/J5</f>
        <v>0.20597885654700127</v>
      </c>
      <c r="L6" s="94">
        <f>+J6/L4</f>
        <v>11.233139333333332</v>
      </c>
      <c r="M6" s="11">
        <f>2.9016+48.9924+76.57229</f>
        <v>128.46629000000001</v>
      </c>
      <c r="N6" s="62">
        <f>+M6/M5</f>
        <v>0.15816659297780869</v>
      </c>
      <c r="O6" s="94">
        <f>+M6/O4</f>
        <v>8.5644193333333352</v>
      </c>
      <c r="P6" s="11">
        <f>2.9211+44.2339+16.625</f>
        <v>63.78</v>
      </c>
      <c r="Q6" s="62">
        <f>+P6/P5</f>
        <v>8.2489960358775705E-2</v>
      </c>
      <c r="R6" s="94">
        <f>+P6/R4</f>
        <v>4.2519999999999998</v>
      </c>
      <c r="S6" s="11">
        <f>3.5743+44.6613+11.51909+135.924</f>
        <v>195.67869000000002</v>
      </c>
      <c r="T6" s="62">
        <f>+S6/S5</f>
        <v>0.24204733187601757</v>
      </c>
      <c r="U6" s="94">
        <f>+S6/U4</f>
        <v>13.045246000000001</v>
      </c>
      <c r="V6" s="11">
        <v>0</v>
      </c>
      <c r="W6" s="62" t="e">
        <f>+V6/V5</f>
        <v>#DIV/0!</v>
      </c>
      <c r="X6" s="94" t="e">
        <f>+V6/X4</f>
        <v>#DIV/0!</v>
      </c>
      <c r="Y6" s="11">
        <v>0</v>
      </c>
      <c r="Z6" s="72" t="e">
        <f>+Y6/Y5</f>
        <v>#DIV/0!</v>
      </c>
      <c r="AA6" s="94" t="e">
        <f>+Y6/AA4</f>
        <v>#DIV/0!</v>
      </c>
      <c r="AB6" s="11">
        <v>0</v>
      </c>
      <c r="AC6" s="62" t="e">
        <f>+AB6/$AB$5</f>
        <v>#DIV/0!</v>
      </c>
      <c r="AD6" s="94" t="e">
        <f>+AB6/AD4</f>
        <v>#DIV/0!</v>
      </c>
      <c r="AE6" s="11">
        <v>0</v>
      </c>
      <c r="AF6" s="62" t="e">
        <f>+AE6/$AE$5</f>
        <v>#DIV/0!</v>
      </c>
      <c r="AG6" s="94" t="e">
        <f>+AE6/AG4</f>
        <v>#DIV/0!</v>
      </c>
      <c r="AH6" s="11">
        <v>0</v>
      </c>
      <c r="AI6" s="62" t="e">
        <f>+AH6/$AH$5</f>
        <v>#DIV/0!</v>
      </c>
      <c r="AJ6" s="94" t="e">
        <f>+AH6/AJ4</f>
        <v>#DIV/0!</v>
      </c>
      <c r="AK6" s="11">
        <v>0</v>
      </c>
      <c r="AL6" s="62" t="e">
        <f>+AK6/$AK$5</f>
        <v>#DIV/0!</v>
      </c>
      <c r="AM6" s="94" t="e">
        <f>+AK6/AM4</f>
        <v>#DIV/0!</v>
      </c>
      <c r="AN6" s="19"/>
      <c r="AO6" s="19"/>
      <c r="AP6" s="27">
        <f>+V6+AB6+AE6+AH6+AK6+Y6+S6+P6+M6+J6+G6+D6</f>
        <v>752.32980000000009</v>
      </c>
      <c r="AQ6" s="72">
        <f>+AP6/$AP$5</f>
        <v>0.15772992427873511</v>
      </c>
      <c r="AR6" s="94">
        <f>+AP6/AR4</f>
        <v>50.155320000000003</v>
      </c>
      <c r="AS6" s="16">
        <f t="shared" ref="AS6:AS9" si="0">+AP6/$AS$4</f>
        <v>125.38830000000002</v>
      </c>
      <c r="AT6" s="64"/>
      <c r="AU6" s="94">
        <f>+AS6/AU4</f>
        <v>8.3592200000000005</v>
      </c>
    </row>
    <row r="7" spans="2:47">
      <c r="B7" s="10" t="s">
        <v>6</v>
      </c>
      <c r="C7" s="19"/>
      <c r="D7" s="8">
        <f>+D5-D6</f>
        <v>687.95720999999992</v>
      </c>
      <c r="E7" s="63">
        <f>+D7/D5</f>
        <v>0.85352034713739811</v>
      </c>
      <c r="F7" s="82">
        <f>+F5-F6</f>
        <v>45.863813999999998</v>
      </c>
      <c r="G7" s="8">
        <f>+G5-G6</f>
        <v>674.00027000000011</v>
      </c>
      <c r="H7" s="63">
        <f>+G7/G5</f>
        <v>0.89646530787053669</v>
      </c>
      <c r="I7" s="82">
        <f>+I5-I6</f>
        <v>44.933351333333341</v>
      </c>
      <c r="J7" s="8">
        <f>+J5-J6</f>
        <v>649.53390999999999</v>
      </c>
      <c r="K7" s="63">
        <f>+J7/J5</f>
        <v>0.79402114345299879</v>
      </c>
      <c r="L7" s="82">
        <f>+L5-L6</f>
        <v>43.302260666666662</v>
      </c>
      <c r="M7" s="8">
        <f>+M5-M6</f>
        <v>683.75510000000008</v>
      </c>
      <c r="N7" s="63">
        <f>+M7/M5</f>
        <v>0.84183340702219134</v>
      </c>
      <c r="O7" s="82">
        <f>+O5-O6</f>
        <v>45.583673333333337</v>
      </c>
      <c r="P7" s="8">
        <f>+P5-P6</f>
        <v>709.40500000000009</v>
      </c>
      <c r="Q7" s="63">
        <f>+P7/P5</f>
        <v>0.91751003964122435</v>
      </c>
      <c r="R7" s="82">
        <f>+R5-R6</f>
        <v>47.293666666666667</v>
      </c>
      <c r="S7" s="8">
        <f>+S5-S6</f>
        <v>612.75281999999993</v>
      </c>
      <c r="T7" s="63">
        <f>+S7/S5</f>
        <v>0.75795266812398232</v>
      </c>
      <c r="U7" s="82">
        <f>+U5-U6</f>
        <v>40.850188000000003</v>
      </c>
      <c r="V7" s="8">
        <f>+V5-V6</f>
        <v>0</v>
      </c>
      <c r="W7" s="63" t="e">
        <f>+V7/V5</f>
        <v>#DIV/0!</v>
      </c>
      <c r="X7" s="82" t="e">
        <f>+X5-X6</f>
        <v>#DIV/0!</v>
      </c>
      <c r="Y7" s="8">
        <f>+Y5-Y6</f>
        <v>0</v>
      </c>
      <c r="Z7" s="72" t="e">
        <f>+Y7/Y5</f>
        <v>#DIV/0!</v>
      </c>
      <c r="AA7" s="82" t="e">
        <f>+AA5-AA6</f>
        <v>#DIV/0!</v>
      </c>
      <c r="AB7" s="8">
        <f>+AB5-AB6</f>
        <v>0</v>
      </c>
      <c r="AC7" s="63" t="e">
        <f>+AB7/$AB$5</f>
        <v>#DIV/0!</v>
      </c>
      <c r="AD7" s="82" t="e">
        <f>+AD5-AD6</f>
        <v>#DIV/0!</v>
      </c>
      <c r="AE7" s="8">
        <f>+AE5-AE6</f>
        <v>0</v>
      </c>
      <c r="AF7" s="63" t="e">
        <f>+AE7/$AE$5</f>
        <v>#DIV/0!</v>
      </c>
      <c r="AG7" s="82" t="e">
        <f>+AG5-AG6</f>
        <v>#DIV/0!</v>
      </c>
      <c r="AH7" s="8">
        <f>+AH5-AH6</f>
        <v>0</v>
      </c>
      <c r="AI7" s="63" t="e">
        <f>+AH7/$AH$5</f>
        <v>#DIV/0!</v>
      </c>
      <c r="AJ7" s="82" t="e">
        <f>+AJ5-AJ6</f>
        <v>#DIV/0!</v>
      </c>
      <c r="AK7" s="8">
        <f>+AK5-AK6</f>
        <v>0</v>
      </c>
      <c r="AL7" s="63" t="e">
        <f>+AK7/$AK$5</f>
        <v>#DIV/0!</v>
      </c>
      <c r="AM7" s="82" t="e">
        <f>+AM5-AM6</f>
        <v>#DIV/0!</v>
      </c>
      <c r="AN7" s="19"/>
      <c r="AO7" s="19"/>
      <c r="AP7" s="35">
        <f>+V7+AB7+AE7+AH7+AK7+Y7+S7+P7+M7+J7+G7+D7</f>
        <v>4017.4043099999999</v>
      </c>
      <c r="AQ7" s="72">
        <f>+AP7/$AP$5</f>
        <v>0.84227007572126478</v>
      </c>
      <c r="AR7" s="82">
        <f>+AR5-AR6</f>
        <v>267.826954</v>
      </c>
      <c r="AS7" s="14">
        <f t="shared" si="0"/>
        <v>669.56738499999994</v>
      </c>
      <c r="AT7" s="64"/>
      <c r="AU7" s="82">
        <f>+AU5-AU6</f>
        <v>44.637825666666664</v>
      </c>
    </row>
    <row r="8" spans="2:47">
      <c r="B8" s="7" t="s">
        <v>5</v>
      </c>
      <c r="C8" s="19"/>
      <c r="D8" s="11">
        <v>684.55200000000002</v>
      </c>
      <c r="E8" s="62">
        <f>+D8/D5</f>
        <v>0.84929564249148615</v>
      </c>
      <c r="F8" s="94">
        <f>+D8/F4</f>
        <v>45.636800000000001</v>
      </c>
      <c r="G8" s="11">
        <v>718.37199999999996</v>
      </c>
      <c r="H8" s="62">
        <f>+G8/G5</f>
        <v>0.95548266790096836</v>
      </c>
      <c r="I8" s="94">
        <f>+G8/I4</f>
        <v>47.891466666666666</v>
      </c>
      <c r="J8" s="11">
        <v>619.40274999999997</v>
      </c>
      <c r="K8" s="62">
        <f>+J8/J5</f>
        <v>0.75718738042934808</v>
      </c>
      <c r="L8" s="94">
        <f>+J8/L4</f>
        <v>41.293516666666662</v>
      </c>
      <c r="M8" s="11">
        <v>622.56885</v>
      </c>
      <c r="N8" s="62">
        <f>+M8/M5</f>
        <v>0.76650142149051259</v>
      </c>
      <c r="O8" s="94">
        <f>+M8/O4</f>
        <v>41.50459</v>
      </c>
      <c r="P8" s="11">
        <v>720.30173000000002</v>
      </c>
      <c r="Q8" s="62">
        <f>+P8/P5</f>
        <v>0.93160334202034434</v>
      </c>
      <c r="R8" s="94">
        <f>+P8/R4</f>
        <v>48.020115333333337</v>
      </c>
      <c r="S8" s="11">
        <v>669.73978999999997</v>
      </c>
      <c r="T8" s="62">
        <f>+S8/S5</f>
        <v>0.82844345094861527</v>
      </c>
      <c r="U8" s="94">
        <f>+S8/U4</f>
        <v>44.649319333333331</v>
      </c>
      <c r="V8" s="11">
        <v>0</v>
      </c>
      <c r="W8" s="62" t="e">
        <f>+V8/V5</f>
        <v>#DIV/0!</v>
      </c>
      <c r="X8" s="94" t="e">
        <f>+V8/X4</f>
        <v>#DIV/0!</v>
      </c>
      <c r="Y8" s="11">
        <v>0</v>
      </c>
      <c r="Z8" s="72" t="e">
        <f>+Y8/Y5</f>
        <v>#DIV/0!</v>
      </c>
      <c r="AA8" s="94" t="e">
        <f>+Y8/AA4</f>
        <v>#DIV/0!</v>
      </c>
      <c r="AB8" s="11">
        <v>0</v>
      </c>
      <c r="AC8" s="62" t="e">
        <f>+AB8/$AB$5</f>
        <v>#DIV/0!</v>
      </c>
      <c r="AD8" s="94" t="e">
        <f>+AB8/AD4</f>
        <v>#DIV/0!</v>
      </c>
      <c r="AE8" s="11">
        <v>0</v>
      </c>
      <c r="AF8" s="62" t="e">
        <f>+AE8/$AE$5</f>
        <v>#DIV/0!</v>
      </c>
      <c r="AG8" s="94" t="e">
        <f>+AE8/AG4</f>
        <v>#DIV/0!</v>
      </c>
      <c r="AH8" s="11">
        <v>0</v>
      </c>
      <c r="AI8" s="62" t="e">
        <f>+AH8/$AH$5</f>
        <v>#DIV/0!</v>
      </c>
      <c r="AJ8" s="94" t="e">
        <f>+AH8/AJ4</f>
        <v>#DIV/0!</v>
      </c>
      <c r="AK8" s="11">
        <v>0</v>
      </c>
      <c r="AL8" s="62" t="e">
        <f>+AK8/$AK$5</f>
        <v>#DIV/0!</v>
      </c>
      <c r="AM8" s="94" t="e">
        <f>+AK8/AM4</f>
        <v>#DIV/0!</v>
      </c>
      <c r="AN8" s="19"/>
      <c r="AO8" s="19"/>
      <c r="AP8" s="27">
        <f>+V8+AB8+AE8+AH8+AK8+Y8+S8+P8+M8+J8+G8+D8</f>
        <v>4034.9371199999996</v>
      </c>
      <c r="AQ8" s="72">
        <f>+AP8/$AP$5</f>
        <v>0.84594592213023789</v>
      </c>
      <c r="AR8" s="94">
        <f>+AP8/AR4</f>
        <v>268.99580799999995</v>
      </c>
      <c r="AS8" s="16">
        <f t="shared" si="0"/>
        <v>672.48951999999997</v>
      </c>
      <c r="AT8" s="64"/>
      <c r="AU8" s="94">
        <f>+AS8/AU4</f>
        <v>44.832634666666664</v>
      </c>
    </row>
    <row r="9" spans="2:47">
      <c r="B9" s="21" t="s">
        <v>12</v>
      </c>
      <c r="C9" s="19"/>
      <c r="D9" s="18">
        <f>+D5-D6-D8</f>
        <v>3.4052099999998973</v>
      </c>
      <c r="E9" s="61">
        <f>+D9/D5</f>
        <v>4.2247046459119924E-3</v>
      </c>
      <c r="F9" s="18">
        <f>+F5-F6-F8</f>
        <v>0.22701399999999694</v>
      </c>
      <c r="G9" s="18">
        <f>+G5-G6-G8</f>
        <v>-44.371729999999843</v>
      </c>
      <c r="H9" s="61">
        <f>+G9/G5</f>
        <v>-5.9017360030431711E-2</v>
      </c>
      <c r="I9" s="18">
        <f>+I5-I6-I8</f>
        <v>-2.9581153333333248</v>
      </c>
      <c r="J9" s="18">
        <f>+J5-J6-J8</f>
        <v>30.131160000000023</v>
      </c>
      <c r="K9" s="61">
        <f>+J9/J5</f>
        <v>3.6833763023650726E-2</v>
      </c>
      <c r="L9" s="18">
        <f>+L5-L6-L8</f>
        <v>2.0087440000000001</v>
      </c>
      <c r="M9" s="18">
        <f>+M5-M6-M8</f>
        <v>61.186250000000086</v>
      </c>
      <c r="N9" s="61">
        <f>+M9/M5</f>
        <v>7.5331985531678844E-2</v>
      </c>
      <c r="O9" s="18">
        <f>+O5-O6-O8</f>
        <v>4.0790833333333367</v>
      </c>
      <c r="P9" s="18">
        <f>+P5-P6-P8</f>
        <v>-10.896729999999934</v>
      </c>
      <c r="Q9" s="61">
        <f>+P9/P5</f>
        <v>-1.4093302379120046E-2</v>
      </c>
      <c r="R9" s="18">
        <f>+R5-R6-R8</f>
        <v>-0.72644866666666985</v>
      </c>
      <c r="S9" s="18">
        <f>+S5-S6-S8</f>
        <v>-56.986970000000042</v>
      </c>
      <c r="T9" s="61">
        <f>+S9/S5</f>
        <v>-7.0490782824632905E-2</v>
      </c>
      <c r="U9" s="18">
        <f>+U5-U6-U8</f>
        <v>-3.7991313333333281</v>
      </c>
      <c r="V9" s="18">
        <f>+V5-V6-V8</f>
        <v>0</v>
      </c>
      <c r="W9" s="61" t="e">
        <f>+V9/V5</f>
        <v>#DIV/0!</v>
      </c>
      <c r="X9" s="18" t="e">
        <f>+X5-X6-X8</f>
        <v>#DIV/0!</v>
      </c>
      <c r="Y9" s="18">
        <f>+Y5-Y6-Y8</f>
        <v>0</v>
      </c>
      <c r="Z9" s="71" t="e">
        <f>+Y9/Y5</f>
        <v>#DIV/0!</v>
      </c>
      <c r="AA9" s="18" t="e">
        <f>+AA5-AA6-AA8</f>
        <v>#DIV/0!</v>
      </c>
      <c r="AB9" s="18">
        <f>+AB5-AB6-AB8</f>
        <v>0</v>
      </c>
      <c r="AC9" s="61" t="e">
        <f>+AB9/$AB$5</f>
        <v>#DIV/0!</v>
      </c>
      <c r="AD9" s="18" t="e">
        <f>+AD5-AD6-AD8</f>
        <v>#DIV/0!</v>
      </c>
      <c r="AE9" s="18">
        <f>+AE5-AE6-AE8</f>
        <v>0</v>
      </c>
      <c r="AF9" s="61" t="e">
        <f>+AE9/$AE$5</f>
        <v>#DIV/0!</v>
      </c>
      <c r="AG9" s="18" t="e">
        <f>+AG5-AG6-AG8</f>
        <v>#DIV/0!</v>
      </c>
      <c r="AH9" s="18">
        <f>+AH5-AH6-AH8</f>
        <v>0</v>
      </c>
      <c r="AI9" s="61" t="e">
        <f>+AH9/$AH$5</f>
        <v>#DIV/0!</v>
      </c>
      <c r="AJ9" s="18" t="e">
        <f>+AJ5-AJ6-AJ8</f>
        <v>#DIV/0!</v>
      </c>
      <c r="AK9" s="18">
        <f>+AK5-AK6-AK8</f>
        <v>0</v>
      </c>
      <c r="AL9" s="61" t="e">
        <f>+AK9/$AK$5</f>
        <v>#DIV/0!</v>
      </c>
      <c r="AM9" s="18" t="e">
        <f>+AM5-AM6-AM8</f>
        <v>#DIV/0!</v>
      </c>
      <c r="AN9" s="19"/>
      <c r="AO9" s="19"/>
      <c r="AP9" s="101">
        <f>+V9+AB9+AE9+AH9+AK9+Y9+S9+P9+M9+J9+G9+D9</f>
        <v>-17.532809999999813</v>
      </c>
      <c r="AQ9" s="71">
        <f>+AP9/$AP$5</f>
        <v>-3.6758464089730594E-3</v>
      </c>
      <c r="AR9" s="18">
        <f>+AR5-AR6-AR8</f>
        <v>-1.1688539999999534</v>
      </c>
      <c r="AS9" s="34">
        <f t="shared" si="0"/>
        <v>-2.9221349999999688</v>
      </c>
      <c r="AT9" s="64"/>
      <c r="AU9" s="18">
        <f>+AU5-AU6-AU8</f>
        <v>-0.19480899999999934</v>
      </c>
    </row>
    <row r="10" spans="2:47" ht="7.5" customHeight="1">
      <c r="B10" s="19"/>
      <c r="C10" s="19"/>
      <c r="D10" s="37"/>
      <c r="E10" s="64"/>
      <c r="F10" s="64"/>
      <c r="G10" s="37"/>
      <c r="H10" s="64"/>
      <c r="I10" s="64"/>
      <c r="J10" s="37"/>
      <c r="K10" s="64"/>
      <c r="L10" s="64"/>
      <c r="M10" s="37"/>
      <c r="N10" s="64"/>
      <c r="O10" s="64"/>
      <c r="P10" s="37"/>
      <c r="Q10" s="64"/>
      <c r="R10" s="64"/>
      <c r="S10" s="37"/>
      <c r="T10" s="64"/>
      <c r="U10" s="64"/>
      <c r="V10" s="37"/>
      <c r="W10" s="64"/>
      <c r="X10" s="64"/>
      <c r="Y10" s="37"/>
      <c r="Z10" s="73"/>
      <c r="AA10" s="64"/>
      <c r="AB10" s="37"/>
      <c r="AC10" s="64"/>
      <c r="AD10" s="64"/>
      <c r="AE10" s="37"/>
      <c r="AF10" s="64"/>
      <c r="AG10" s="64"/>
      <c r="AH10" s="37"/>
      <c r="AI10" s="64"/>
      <c r="AJ10" s="64"/>
      <c r="AK10" s="19"/>
      <c r="AL10" s="19"/>
      <c r="AM10" s="19"/>
      <c r="AN10" s="19"/>
      <c r="AO10" s="19"/>
      <c r="AP10" s="19"/>
      <c r="AQ10" s="79"/>
      <c r="AR10" s="64"/>
      <c r="AS10" s="19"/>
      <c r="AT10" s="64"/>
      <c r="AU10" s="64"/>
    </row>
    <row r="11" spans="2:47">
      <c r="B11" s="20" t="s">
        <v>15</v>
      </c>
      <c r="C11" s="19"/>
      <c r="D11" s="37">
        <v>17</v>
      </c>
      <c r="E11" s="64"/>
      <c r="F11" s="94">
        <f>+D11/F4</f>
        <v>1.1333333333333333</v>
      </c>
      <c r="G11" s="37">
        <v>17</v>
      </c>
      <c r="H11" s="64"/>
      <c r="I11" s="94">
        <f>+G11/I4</f>
        <v>1.1333333333333333</v>
      </c>
      <c r="J11" s="37">
        <v>17</v>
      </c>
      <c r="K11" s="64"/>
      <c r="L11" s="94">
        <f>+J11/L4</f>
        <v>1.1333333333333333</v>
      </c>
      <c r="M11" s="37">
        <v>17</v>
      </c>
      <c r="N11" s="64"/>
      <c r="O11" s="94">
        <f>+M11/O4</f>
        <v>1.1333333333333333</v>
      </c>
      <c r="P11" s="37">
        <v>17</v>
      </c>
      <c r="Q11" s="64"/>
      <c r="R11" s="94">
        <f>+P11/R4</f>
        <v>1.1333333333333333</v>
      </c>
      <c r="S11" s="37">
        <v>17</v>
      </c>
      <c r="T11" s="64"/>
      <c r="U11" s="94">
        <f>+S11/U4</f>
        <v>1.1333333333333333</v>
      </c>
      <c r="V11" s="37">
        <v>0</v>
      </c>
      <c r="W11" s="64"/>
      <c r="X11" s="94" t="e">
        <f>+V11/X4</f>
        <v>#DIV/0!</v>
      </c>
      <c r="Y11" s="37">
        <v>0</v>
      </c>
      <c r="Z11" s="73"/>
      <c r="AA11" s="94" t="e">
        <f>+Y11/AA4</f>
        <v>#DIV/0!</v>
      </c>
      <c r="AB11" s="37">
        <v>0</v>
      </c>
      <c r="AC11" s="64"/>
      <c r="AD11" s="94" t="e">
        <f>+AB11/AD4</f>
        <v>#DIV/0!</v>
      </c>
      <c r="AE11" s="37">
        <v>0</v>
      </c>
      <c r="AF11" s="64"/>
      <c r="AG11" s="94" t="e">
        <f>+AE11/AG4</f>
        <v>#DIV/0!</v>
      </c>
      <c r="AH11" s="37">
        <v>0</v>
      </c>
      <c r="AI11" s="64"/>
      <c r="AJ11" s="94" t="e">
        <f>+AH11/AJ4</f>
        <v>#DIV/0!</v>
      </c>
      <c r="AK11" s="19">
        <v>0</v>
      </c>
      <c r="AL11" s="19"/>
      <c r="AM11" s="94" t="e">
        <f>+AK11/AM4</f>
        <v>#DIV/0!</v>
      </c>
      <c r="AN11" s="19"/>
      <c r="AO11" s="19"/>
      <c r="AP11" s="16">
        <f>(AB11+AE11+AH11+AK11+Y11++V11+S11+P11+M11+J11+G11+D11)</f>
        <v>102</v>
      </c>
      <c r="AQ11" s="64"/>
      <c r="AR11" s="94">
        <f>+AP11/AR4</f>
        <v>6.8</v>
      </c>
      <c r="AS11" s="33">
        <f>+AP11/AS4</f>
        <v>17</v>
      </c>
      <c r="AT11" s="64"/>
      <c r="AU11" s="94">
        <f>+AS11/AU4</f>
        <v>1.1333333333333333</v>
      </c>
    </row>
    <row r="12" spans="2:47">
      <c r="B12" s="20" t="s">
        <v>13</v>
      </c>
      <c r="C12" s="19"/>
      <c r="D12" s="37">
        <v>531.48833000000002</v>
      </c>
      <c r="E12" s="64"/>
      <c r="F12" s="94">
        <f>+D12/F4</f>
        <v>35.432555333333333</v>
      </c>
      <c r="G12" s="37">
        <v>513.72900000000004</v>
      </c>
      <c r="H12" s="64"/>
      <c r="I12" s="94">
        <f>+G12/I4</f>
        <v>34.248600000000003</v>
      </c>
      <c r="J12" s="37">
        <v>449.06189000000001</v>
      </c>
      <c r="K12" s="64"/>
      <c r="L12" s="94">
        <f>+J12/L4</f>
        <v>29.937459333333333</v>
      </c>
      <c r="M12" s="37">
        <v>454.91091999999998</v>
      </c>
      <c r="N12" s="64"/>
      <c r="O12" s="94">
        <f>+M12/O4</f>
        <v>30.327394666666667</v>
      </c>
      <c r="P12" s="37">
        <v>515.48330999999996</v>
      </c>
      <c r="Q12" s="64"/>
      <c r="R12" s="94">
        <f>+P12/R4</f>
        <v>34.365553999999996</v>
      </c>
      <c r="S12" s="37">
        <v>505.44499999999999</v>
      </c>
      <c r="T12" s="64"/>
      <c r="U12" s="94">
        <f>+S12/U4</f>
        <v>33.696333333333335</v>
      </c>
      <c r="V12" s="37">
        <v>0</v>
      </c>
      <c r="W12" s="64"/>
      <c r="X12" s="94" t="e">
        <f>+V12/X4</f>
        <v>#DIV/0!</v>
      </c>
      <c r="Y12" s="37">
        <v>0</v>
      </c>
      <c r="Z12" s="73"/>
      <c r="AA12" s="94" t="e">
        <f>+Y12/AA4</f>
        <v>#DIV/0!</v>
      </c>
      <c r="AB12" s="37">
        <v>0</v>
      </c>
      <c r="AC12" s="64"/>
      <c r="AD12" s="94" t="e">
        <f>+AB12/AD4</f>
        <v>#DIV/0!</v>
      </c>
      <c r="AE12" s="37">
        <v>0</v>
      </c>
      <c r="AF12" s="64"/>
      <c r="AG12" s="94" t="e">
        <f>+AE12/AG4</f>
        <v>#DIV/0!</v>
      </c>
      <c r="AH12" s="37">
        <v>0</v>
      </c>
      <c r="AI12" s="64"/>
      <c r="AJ12" s="94" t="e">
        <f>+AH12/AJ4</f>
        <v>#DIV/0!</v>
      </c>
      <c r="AK12" s="33">
        <v>0</v>
      </c>
      <c r="AL12" s="19"/>
      <c r="AM12" s="94" t="e">
        <f>+AK12/AM4</f>
        <v>#DIV/0!</v>
      </c>
      <c r="AN12" s="19"/>
      <c r="AO12" s="19"/>
      <c r="AP12" s="27">
        <f>+V12+AB12+AE12+AH12+AK12+Y12+S12+P12+M12+J12+G12+D12</f>
        <v>2970.1184499999999</v>
      </c>
      <c r="AQ12" s="64"/>
      <c r="AR12" s="94">
        <f>+AP12/AR4</f>
        <v>198.00789666666665</v>
      </c>
      <c r="AS12" s="16">
        <f t="shared" ref="AS12" si="1">+AP12/$AS$4</f>
        <v>495.01974166666668</v>
      </c>
      <c r="AT12" s="64"/>
      <c r="AU12" s="94">
        <f>+AS12/AU4</f>
        <v>33.001316111111109</v>
      </c>
    </row>
    <row r="13" spans="2:47">
      <c r="B13" s="21" t="s">
        <v>16</v>
      </c>
      <c r="C13" s="19"/>
      <c r="D13" s="38">
        <f>+D12/D5</f>
        <v>0.65939581318011931</v>
      </c>
      <c r="E13" s="64"/>
      <c r="F13" s="38"/>
      <c r="G13" s="38">
        <f>+G12/G5</f>
        <v>0.6832938303526539</v>
      </c>
      <c r="H13" s="64"/>
      <c r="I13" s="38"/>
      <c r="J13" s="38">
        <f>+J12/J5</f>
        <v>0.54895461174454274</v>
      </c>
      <c r="K13" s="64"/>
      <c r="L13" s="38"/>
      <c r="M13" s="38">
        <f>+M12/M5</f>
        <v>0.5600824179230246</v>
      </c>
      <c r="N13" s="64"/>
      <c r="O13" s="38"/>
      <c r="P13" s="38">
        <f>+P12/P5</f>
        <v>0.66670112586250374</v>
      </c>
      <c r="Q13" s="64"/>
      <c r="R13" s="38"/>
      <c r="S13" s="38">
        <f>+S12/S5</f>
        <v>0.62521684737399708</v>
      </c>
      <c r="T13" s="64"/>
      <c r="U13" s="38"/>
      <c r="V13" s="38" t="e">
        <f>+V12/V5</f>
        <v>#DIV/0!</v>
      </c>
      <c r="W13" s="64"/>
      <c r="X13" s="38"/>
      <c r="Y13" s="38" t="e">
        <f>+Y12/Y5</f>
        <v>#DIV/0!</v>
      </c>
      <c r="Z13" s="73"/>
      <c r="AA13" s="38"/>
      <c r="AB13" s="38" t="e">
        <f>+AB12/AB5</f>
        <v>#DIV/0!</v>
      </c>
      <c r="AC13" s="64"/>
      <c r="AD13" s="38"/>
      <c r="AE13" s="38" t="e">
        <f>+AE12/AE5</f>
        <v>#DIV/0!</v>
      </c>
      <c r="AF13" s="64"/>
      <c r="AG13" s="38"/>
      <c r="AH13" s="38" t="e">
        <f>+AH12/AH5</f>
        <v>#DIV/0!</v>
      </c>
      <c r="AI13" s="64"/>
      <c r="AJ13" s="38"/>
      <c r="AK13" s="38" t="e">
        <f>+AK12/AK5</f>
        <v>#DIV/0!</v>
      </c>
      <c r="AL13" s="19"/>
      <c r="AM13" s="19"/>
      <c r="AN13" s="19"/>
      <c r="AO13" s="19"/>
      <c r="AP13" s="40">
        <f>+AP12/AP5</f>
        <v>0.62270105240730067</v>
      </c>
      <c r="AQ13" s="64"/>
      <c r="AR13" s="38"/>
      <c r="AS13" s="40">
        <f>+AS12/AS5</f>
        <v>0.62270105240730078</v>
      </c>
      <c r="AT13" s="64"/>
      <c r="AU13" s="38"/>
    </row>
    <row r="14" spans="2:47">
      <c r="B14" s="21" t="s">
        <v>14</v>
      </c>
      <c r="C14" s="19"/>
      <c r="D14" s="8">
        <f>+D5/D11</f>
        <v>47.413129999999995</v>
      </c>
      <c r="E14" s="64"/>
      <c r="F14" s="8"/>
      <c r="G14" s="8">
        <f>+G5/G11</f>
        <v>44.226000000000006</v>
      </c>
      <c r="H14" s="64"/>
      <c r="I14" s="8"/>
      <c r="J14" s="8">
        <f>+J5/J11</f>
        <v>48.119470588235288</v>
      </c>
      <c r="K14" s="64"/>
      <c r="L14" s="8"/>
      <c r="M14" s="8">
        <f>+M5/M11</f>
        <v>47.777728823529415</v>
      </c>
      <c r="N14" s="64"/>
      <c r="O14" s="8"/>
      <c r="P14" s="8">
        <f>+P5/P11</f>
        <v>45.481470588235297</v>
      </c>
      <c r="Q14" s="64"/>
      <c r="R14" s="8"/>
      <c r="S14" s="8">
        <f>+S5/S11</f>
        <v>47.554794705882351</v>
      </c>
      <c r="T14" s="64"/>
      <c r="U14" s="8"/>
      <c r="V14" s="8" t="e">
        <f>+V5/V11</f>
        <v>#DIV/0!</v>
      </c>
      <c r="W14" s="64"/>
      <c r="X14" s="8"/>
      <c r="Y14" s="8" t="e">
        <f>+Y5/Y11</f>
        <v>#DIV/0!</v>
      </c>
      <c r="Z14" s="73"/>
      <c r="AA14" s="8"/>
      <c r="AB14" s="8" t="e">
        <f>+AB5/AB11</f>
        <v>#DIV/0!</v>
      </c>
      <c r="AC14" s="64"/>
      <c r="AD14" s="8"/>
      <c r="AE14" s="8" t="e">
        <f>+AE5/AE11</f>
        <v>#DIV/0!</v>
      </c>
      <c r="AF14" s="64"/>
      <c r="AG14" s="8"/>
      <c r="AH14" s="8" t="e">
        <f>+AH5/AH11</f>
        <v>#DIV/0!</v>
      </c>
      <c r="AI14" s="64"/>
      <c r="AJ14" s="8"/>
      <c r="AK14" s="8" t="e">
        <f>+AK5/AK11</f>
        <v>#DIV/0!</v>
      </c>
      <c r="AL14" s="19"/>
      <c r="AM14" s="19"/>
      <c r="AN14" s="19"/>
      <c r="AO14" s="19"/>
      <c r="AP14" s="41">
        <f>+AP5/AP11</f>
        <v>46.762099117647061</v>
      </c>
      <c r="AQ14" s="64"/>
      <c r="AR14" s="8"/>
      <c r="AS14" s="41">
        <f>+AS5/AS11</f>
        <v>46.762099117647061</v>
      </c>
      <c r="AT14" s="64"/>
      <c r="AU14" s="8"/>
    </row>
    <row r="15" spans="2:47">
      <c r="B15" s="10" t="s">
        <v>41</v>
      </c>
      <c r="C15" s="19"/>
      <c r="D15" s="8">
        <f>+D12/D11</f>
        <v>31.264019411764707</v>
      </c>
      <c r="E15" s="64"/>
      <c r="F15" s="8"/>
      <c r="G15" s="8">
        <f>+G12/G11</f>
        <v>30.219352941176474</v>
      </c>
      <c r="H15" s="64"/>
      <c r="I15" s="8"/>
      <c r="J15" s="8">
        <f>+J12/J11</f>
        <v>26.415405294117647</v>
      </c>
      <c r="K15" s="64"/>
      <c r="L15" s="8"/>
      <c r="M15" s="8">
        <f>+M12/M11</f>
        <v>26.759465882352941</v>
      </c>
      <c r="N15" s="64"/>
      <c r="O15" s="8"/>
      <c r="P15" s="8">
        <f>+P12/P11</f>
        <v>30.322547647058823</v>
      </c>
      <c r="Q15" s="64"/>
      <c r="R15" s="8"/>
      <c r="S15" s="8">
        <f>+S12/S11</f>
        <v>29.73205882352941</v>
      </c>
      <c r="T15" s="64"/>
      <c r="U15" s="8"/>
      <c r="V15" s="8" t="e">
        <f>+V12/V11</f>
        <v>#DIV/0!</v>
      </c>
      <c r="W15" s="64"/>
      <c r="X15" s="8"/>
      <c r="Y15" s="8" t="e">
        <f>+Y12/Y11</f>
        <v>#DIV/0!</v>
      </c>
      <c r="Z15" s="73"/>
      <c r="AA15" s="8"/>
      <c r="AB15" s="8" t="e">
        <f>+AB12/AB11</f>
        <v>#DIV/0!</v>
      </c>
      <c r="AC15" s="64"/>
      <c r="AD15" s="8"/>
      <c r="AE15" s="8" t="e">
        <f>+AE12/AE11</f>
        <v>#DIV/0!</v>
      </c>
      <c r="AF15" s="64"/>
      <c r="AG15" s="8"/>
      <c r="AH15" s="8" t="e">
        <f>+AH12/AH11</f>
        <v>#DIV/0!</v>
      </c>
      <c r="AI15" s="64"/>
      <c r="AJ15" s="8"/>
      <c r="AK15" s="8" t="e">
        <f>+AK12/AK11</f>
        <v>#DIV/0!</v>
      </c>
      <c r="AL15" s="19"/>
      <c r="AM15" s="19"/>
      <c r="AN15" s="19"/>
      <c r="AO15" s="19"/>
      <c r="AP15" s="41">
        <f>+AP12/AP11</f>
        <v>29.118808333333334</v>
      </c>
      <c r="AQ15" s="64"/>
      <c r="AR15" s="8"/>
      <c r="AS15" s="41">
        <f>+AS12/AS11</f>
        <v>29.118808333333334</v>
      </c>
      <c r="AT15" s="64"/>
      <c r="AU15" s="8"/>
    </row>
    <row r="16" spans="2:47">
      <c r="B16" s="21" t="s">
        <v>17</v>
      </c>
      <c r="C16" s="19"/>
      <c r="D16" s="38">
        <f>+D12/D7</f>
        <v>0.77256015675742407</v>
      </c>
      <c r="E16" s="64"/>
      <c r="F16" s="38"/>
      <c r="G16" s="38">
        <f>+G12/G7</f>
        <v>0.76220889347714949</v>
      </c>
      <c r="H16" s="64"/>
      <c r="I16" s="38"/>
      <c r="J16" s="38">
        <f>+J12/J7</f>
        <v>0.69136019395815684</v>
      </c>
      <c r="K16" s="64"/>
      <c r="L16" s="38"/>
      <c r="M16" s="38">
        <f>+M12/M7</f>
        <v>0.66531265360945746</v>
      </c>
      <c r="N16" s="64"/>
      <c r="O16" s="38"/>
      <c r="P16" s="38">
        <f>+P12/P7</f>
        <v>0.72664177726404511</v>
      </c>
      <c r="Q16" s="64"/>
      <c r="R16" s="38"/>
      <c r="S16" s="38">
        <f>+S12/S7</f>
        <v>0.82487584471663478</v>
      </c>
      <c r="T16" s="64"/>
      <c r="U16" s="38"/>
      <c r="V16" s="38" t="e">
        <f>+V12/V7</f>
        <v>#DIV/0!</v>
      </c>
      <c r="W16" s="64"/>
      <c r="X16" s="38"/>
      <c r="Y16" s="38" t="e">
        <f>+Y12/Y7</f>
        <v>#DIV/0!</v>
      </c>
      <c r="Z16" s="73"/>
      <c r="AA16" s="38"/>
      <c r="AB16" s="38" t="e">
        <f>+AB12/AB7</f>
        <v>#DIV/0!</v>
      </c>
      <c r="AC16" s="64"/>
      <c r="AD16" s="38"/>
      <c r="AE16" s="38" t="e">
        <f>+AE12/AE7</f>
        <v>#DIV/0!</v>
      </c>
      <c r="AF16" s="64"/>
      <c r="AG16" s="38"/>
      <c r="AH16" s="38" t="e">
        <f>+AH12/AH7</f>
        <v>#DIV/0!</v>
      </c>
      <c r="AI16" s="64"/>
      <c r="AJ16" s="38"/>
      <c r="AK16" s="38" t="e">
        <f>+AK12/AK7</f>
        <v>#DIV/0!</v>
      </c>
      <c r="AL16" s="19"/>
      <c r="AM16" s="19"/>
      <c r="AN16" s="19"/>
      <c r="AO16" s="19"/>
      <c r="AP16" s="40">
        <f>+AP12/AP7</f>
        <v>0.73931280518788511</v>
      </c>
      <c r="AQ16" s="64"/>
      <c r="AR16" s="38"/>
      <c r="AS16" s="40">
        <f>+AS12/AS7</f>
        <v>0.73931280518788522</v>
      </c>
      <c r="AT16" s="64"/>
      <c r="AU16" s="38"/>
    </row>
    <row r="17" spans="2:47" ht="7.5" customHeight="1">
      <c r="B17" s="7"/>
      <c r="C17" s="19"/>
      <c r="D17" s="37"/>
      <c r="E17" s="64"/>
      <c r="F17" s="64"/>
      <c r="G17" s="37"/>
      <c r="H17" s="64"/>
      <c r="I17" s="64"/>
      <c r="J17" s="37"/>
      <c r="K17" s="64"/>
      <c r="L17" s="64"/>
      <c r="M17" s="37"/>
      <c r="N17" s="64"/>
      <c r="O17" s="64"/>
      <c r="P17" s="37"/>
      <c r="Q17" s="64"/>
      <c r="R17" s="64"/>
      <c r="S17" s="37"/>
      <c r="T17" s="64"/>
      <c r="U17" s="64"/>
      <c r="V17" s="37"/>
      <c r="W17" s="64"/>
      <c r="X17" s="64"/>
      <c r="Y17" s="37"/>
      <c r="Z17" s="73"/>
      <c r="AA17" s="64"/>
      <c r="AB17" s="37"/>
      <c r="AC17" s="64"/>
      <c r="AD17" s="64"/>
      <c r="AE17" s="37"/>
      <c r="AF17" s="64"/>
      <c r="AG17" s="64"/>
      <c r="AH17" s="37"/>
      <c r="AI17" s="64"/>
      <c r="AJ17" s="64"/>
      <c r="AK17" s="19"/>
      <c r="AL17" s="19"/>
      <c r="AM17" s="19"/>
      <c r="AN17" s="19"/>
      <c r="AO17" s="19"/>
      <c r="AP17" s="19"/>
      <c r="AQ17" s="64"/>
      <c r="AR17" s="64"/>
      <c r="AS17" s="19"/>
      <c r="AT17" s="64"/>
      <c r="AU17" s="64"/>
    </row>
    <row r="18" spans="2:47">
      <c r="B18" s="20" t="s">
        <v>27</v>
      </c>
      <c r="C18" s="19"/>
      <c r="D18" s="11">
        <v>11601.67</v>
      </c>
      <c r="E18" s="65">
        <v>11.60167</v>
      </c>
      <c r="F18" s="80">
        <f>+D18/F4</f>
        <v>773.44466666666665</v>
      </c>
      <c r="G18" s="11">
        <v>11186.44</v>
      </c>
      <c r="H18" s="65">
        <v>11186.44</v>
      </c>
      <c r="I18" s="80">
        <f>+G18/I4</f>
        <v>745.76266666666675</v>
      </c>
      <c r="J18" s="11">
        <v>11422</v>
      </c>
      <c r="K18" s="65">
        <v>11422</v>
      </c>
      <c r="L18" s="80">
        <f>+J18/L4</f>
        <v>761.4666666666667</v>
      </c>
      <c r="M18" s="11">
        <v>12371</v>
      </c>
      <c r="N18" s="65">
        <v>12371</v>
      </c>
      <c r="O18" s="80">
        <f>+M18/O4</f>
        <v>824.73333333333335</v>
      </c>
      <c r="P18" s="11">
        <v>11117</v>
      </c>
      <c r="Q18" s="65">
        <v>11117</v>
      </c>
      <c r="R18" s="80">
        <f>+P18/R4</f>
        <v>741.13333333333333</v>
      </c>
      <c r="S18" s="11">
        <v>10903</v>
      </c>
      <c r="T18" s="65">
        <v>10903</v>
      </c>
      <c r="U18" s="80">
        <f>+S18/U4</f>
        <v>726.86666666666667</v>
      </c>
      <c r="V18" s="11">
        <v>0</v>
      </c>
      <c r="W18" s="65">
        <v>0</v>
      </c>
      <c r="X18" s="80" t="e">
        <f>+V18/X4</f>
        <v>#DIV/0!</v>
      </c>
      <c r="Y18" s="11">
        <v>0</v>
      </c>
      <c r="Z18" s="65">
        <v>0</v>
      </c>
      <c r="AA18" s="80" t="e">
        <f>+Y18/AA4</f>
        <v>#DIV/0!</v>
      </c>
      <c r="AB18" s="11">
        <v>0</v>
      </c>
      <c r="AC18" s="65">
        <v>0</v>
      </c>
      <c r="AD18" s="80" t="e">
        <f>+AB18/AD4</f>
        <v>#DIV/0!</v>
      </c>
      <c r="AE18" s="11">
        <v>0</v>
      </c>
      <c r="AF18" s="65">
        <v>0</v>
      </c>
      <c r="AG18" s="80" t="e">
        <f>+AE18/AG4</f>
        <v>#DIV/0!</v>
      </c>
      <c r="AH18" s="11">
        <v>0</v>
      </c>
      <c r="AI18" s="65">
        <v>0</v>
      </c>
      <c r="AJ18" s="80" t="e">
        <f>+AH18/AJ4</f>
        <v>#DIV/0!</v>
      </c>
      <c r="AK18" s="11">
        <v>0</v>
      </c>
      <c r="AL18" s="65">
        <v>0</v>
      </c>
      <c r="AM18" s="80" t="e">
        <f>+AK18/AM4</f>
        <v>#DIV/0!</v>
      </c>
      <c r="AN18" s="19"/>
      <c r="AO18" s="19"/>
      <c r="AP18" s="27">
        <f t="shared" ref="AP18:AQ20" si="2">+V18+AB18+AE18+AH18+AK18+Y18+S18+P18+M18+J18+G18+D18</f>
        <v>68601.11</v>
      </c>
      <c r="AQ18" s="27">
        <f t="shared" si="2"/>
        <v>57011.041669999999</v>
      </c>
      <c r="AR18" s="80">
        <f>+AP18/AR4</f>
        <v>4573.4073333333336</v>
      </c>
      <c r="AS18" s="16">
        <f t="shared" ref="AS18:AT20" si="3">+AP18/$AS$4</f>
        <v>11433.518333333333</v>
      </c>
      <c r="AT18" s="80">
        <f t="shared" si="3"/>
        <v>9501.8402783333331</v>
      </c>
      <c r="AU18" s="80">
        <f>+AS18/AU4</f>
        <v>762.23455555555552</v>
      </c>
    </row>
    <row r="19" spans="2:47">
      <c r="B19" s="20" t="s">
        <v>28</v>
      </c>
      <c r="C19" s="19"/>
      <c r="D19" s="11">
        <v>1573.89</v>
      </c>
      <c r="E19" s="65">
        <v>1573.89</v>
      </c>
      <c r="F19" s="80">
        <f>+D19/F4</f>
        <v>104.926</v>
      </c>
      <c r="G19" s="11">
        <v>1557.56</v>
      </c>
      <c r="H19" s="65">
        <v>1557.56</v>
      </c>
      <c r="I19" s="80">
        <f>+G19/I4</f>
        <v>103.83733333333333</v>
      </c>
      <c r="J19" s="11">
        <v>1622.34</v>
      </c>
      <c r="K19" s="65">
        <v>1622.34</v>
      </c>
      <c r="L19" s="80">
        <f>+J19/L4</f>
        <v>108.15599999999999</v>
      </c>
      <c r="M19" s="11">
        <v>1663.19</v>
      </c>
      <c r="N19" s="65">
        <v>1663.19</v>
      </c>
      <c r="O19" s="80">
        <f>+M19/O4</f>
        <v>110.87933333333334</v>
      </c>
      <c r="P19" s="11">
        <v>1421.66</v>
      </c>
      <c r="Q19" s="65">
        <v>1421.66</v>
      </c>
      <c r="R19" s="80">
        <f>+P19/R4</f>
        <v>94.777333333333345</v>
      </c>
      <c r="S19" s="11">
        <v>1514.96</v>
      </c>
      <c r="T19" s="65">
        <v>1514.96</v>
      </c>
      <c r="U19" s="80">
        <f>+S19/U4</f>
        <v>100.99733333333333</v>
      </c>
      <c r="V19" s="11">
        <v>0</v>
      </c>
      <c r="W19" s="65">
        <v>0</v>
      </c>
      <c r="X19" s="80" t="e">
        <f>+V19/X4</f>
        <v>#DIV/0!</v>
      </c>
      <c r="Y19" s="11">
        <v>0</v>
      </c>
      <c r="Z19" s="65">
        <v>0</v>
      </c>
      <c r="AA19" s="80" t="e">
        <f>+Y19/AA4</f>
        <v>#DIV/0!</v>
      </c>
      <c r="AB19" s="11">
        <v>0</v>
      </c>
      <c r="AC19" s="65">
        <v>0</v>
      </c>
      <c r="AD19" s="80" t="e">
        <f>+AB19/AD4</f>
        <v>#DIV/0!</v>
      </c>
      <c r="AE19" s="11">
        <v>0</v>
      </c>
      <c r="AF19" s="65">
        <v>0</v>
      </c>
      <c r="AG19" s="80" t="e">
        <f>+AE19/AG4</f>
        <v>#DIV/0!</v>
      </c>
      <c r="AH19" s="11">
        <v>0</v>
      </c>
      <c r="AI19" s="65">
        <v>0</v>
      </c>
      <c r="AJ19" s="80" t="e">
        <f>+AH19/AJ4</f>
        <v>#DIV/0!</v>
      </c>
      <c r="AK19" s="11">
        <v>0</v>
      </c>
      <c r="AL19" s="65">
        <v>0</v>
      </c>
      <c r="AM19" s="80" t="e">
        <f>+AK19/AM4</f>
        <v>#DIV/0!</v>
      </c>
      <c r="AN19" s="19"/>
      <c r="AO19" s="19"/>
      <c r="AP19" s="27">
        <f t="shared" si="2"/>
        <v>9353.5999999999985</v>
      </c>
      <c r="AQ19" s="27">
        <f t="shared" si="2"/>
        <v>9353.5999999999985</v>
      </c>
      <c r="AR19" s="80">
        <f>+AP19/AR4</f>
        <v>623.57333333333327</v>
      </c>
      <c r="AS19" s="16">
        <f t="shared" si="3"/>
        <v>1558.9333333333332</v>
      </c>
      <c r="AT19" s="80">
        <f t="shared" si="3"/>
        <v>1558.9333333333332</v>
      </c>
      <c r="AU19" s="80">
        <f>+AS19/AU4</f>
        <v>103.92888888888888</v>
      </c>
    </row>
    <row r="20" spans="2:47">
      <c r="B20" s="20" t="s">
        <v>29</v>
      </c>
      <c r="C20" s="19"/>
      <c r="D20" s="11">
        <f>51.7276-0.7347-4.2333</f>
        <v>46.759600000000006</v>
      </c>
      <c r="E20" s="66">
        <v>47.494</v>
      </c>
      <c r="F20" s="80">
        <f>+D20/F4</f>
        <v>3.1173066666666669</v>
      </c>
      <c r="G20" s="11">
        <f>3.2591+43.4861-0.74799</f>
        <v>45.997209999999995</v>
      </c>
      <c r="H20" s="66">
        <v>46.615000000000002</v>
      </c>
      <c r="I20" s="80">
        <f>+G20/I4</f>
        <v>3.0664806666666662</v>
      </c>
      <c r="J20" s="11">
        <f>3.4925+47.2591-0.628</f>
        <v>50.123599999999996</v>
      </c>
      <c r="K20" s="66">
        <v>50.123609999999999</v>
      </c>
      <c r="L20" s="80">
        <f>+J20/L4</f>
        <v>3.3415733333333333</v>
      </c>
      <c r="M20" s="11">
        <f>2.9016+48.9924-0.15601</f>
        <v>51.737990000000003</v>
      </c>
      <c r="N20" s="66">
        <v>51.738</v>
      </c>
      <c r="O20" s="80">
        <f>+M20/O4</f>
        <v>3.4491993333333335</v>
      </c>
      <c r="P20" s="11">
        <f>2.9211+44.2339-2.5206</f>
        <v>44.634399999999999</v>
      </c>
      <c r="Q20" s="66">
        <v>44.643436999999999</v>
      </c>
      <c r="R20" s="80">
        <f>+P20/R4</f>
        <v>2.9756266666666664</v>
      </c>
      <c r="S20" s="11">
        <f>3.5743+44.6613-0.474</f>
        <v>47.761600000000001</v>
      </c>
      <c r="T20" s="66">
        <v>47.761609999999997</v>
      </c>
      <c r="U20" s="80">
        <f>+S20/U4</f>
        <v>3.1841066666666666</v>
      </c>
      <c r="V20" s="11">
        <v>0</v>
      </c>
      <c r="W20" s="66">
        <v>0</v>
      </c>
      <c r="X20" s="80" t="e">
        <f>+V20/X4</f>
        <v>#DIV/0!</v>
      </c>
      <c r="Y20" s="11">
        <v>0</v>
      </c>
      <c r="Z20" s="66">
        <v>0</v>
      </c>
      <c r="AA20" s="80" t="e">
        <f>+Y20/AA4</f>
        <v>#DIV/0!</v>
      </c>
      <c r="AB20" s="11">
        <v>0</v>
      </c>
      <c r="AC20" s="66">
        <v>0</v>
      </c>
      <c r="AD20" s="80" t="e">
        <f>+AB20/AD4</f>
        <v>#DIV/0!</v>
      </c>
      <c r="AE20" s="11">
        <v>0</v>
      </c>
      <c r="AF20" s="66">
        <v>0</v>
      </c>
      <c r="AG20" s="80" t="e">
        <f>+AE20/AG4</f>
        <v>#DIV/0!</v>
      </c>
      <c r="AH20" s="11">
        <v>0</v>
      </c>
      <c r="AI20" s="66">
        <v>0</v>
      </c>
      <c r="AJ20" s="80" t="e">
        <f>+AH20/AJ4</f>
        <v>#DIV/0!</v>
      </c>
      <c r="AK20" s="11">
        <v>0</v>
      </c>
      <c r="AL20" s="66">
        <v>0</v>
      </c>
      <c r="AM20" s="80" t="e">
        <f>+AK20/AM4</f>
        <v>#DIV/0!</v>
      </c>
      <c r="AN20" s="19"/>
      <c r="AO20" s="19"/>
      <c r="AP20" s="27">
        <f t="shared" si="2"/>
        <v>287.01440000000002</v>
      </c>
      <c r="AQ20" s="27">
        <f t="shared" si="2"/>
        <v>288.37565700000005</v>
      </c>
      <c r="AR20" s="80">
        <f>+AP20/AR4</f>
        <v>19.134293333333336</v>
      </c>
      <c r="AS20" s="16">
        <f t="shared" si="3"/>
        <v>47.835733333333337</v>
      </c>
      <c r="AT20" s="80">
        <f t="shared" si="3"/>
        <v>48.062609500000008</v>
      </c>
      <c r="AU20" s="80">
        <f>+AS20/AU4</f>
        <v>3.1890488888888893</v>
      </c>
    </row>
    <row r="21" spans="2:47">
      <c r="B21" s="21" t="s">
        <v>30</v>
      </c>
      <c r="C21" s="19"/>
      <c r="D21" s="50">
        <f t="shared" ref="D21:E21" si="4">+D20/D19*1000</f>
        <v>29.709573095959694</v>
      </c>
      <c r="E21" s="67">
        <f t="shared" si="4"/>
        <v>30.176187662416048</v>
      </c>
      <c r="F21" s="67"/>
      <c r="G21" s="50">
        <f t="shared" ref="G21:H21" si="5">+G20/G19*1000</f>
        <v>29.531581447905698</v>
      </c>
      <c r="H21" s="67">
        <f t="shared" si="5"/>
        <v>29.928221063715046</v>
      </c>
      <c r="I21" s="67"/>
      <c r="J21" s="50">
        <f t="shared" ref="J21:K21" si="6">+J20/J19*1000</f>
        <v>30.895866464489561</v>
      </c>
      <c r="K21" s="67">
        <f t="shared" si="6"/>
        <v>30.895872628425607</v>
      </c>
      <c r="L21" s="67"/>
      <c r="M21" s="50">
        <f t="shared" ref="M21:N21" si="7">+M20/M19*1000</f>
        <v>31.107684630138468</v>
      </c>
      <c r="N21" s="67">
        <f t="shared" si="7"/>
        <v>31.10769064268063</v>
      </c>
      <c r="O21" s="67"/>
      <c r="P21" s="50">
        <f t="shared" ref="P21:Q21" si="8">+P20/P19*1000</f>
        <v>31.395973720861523</v>
      </c>
      <c r="Q21" s="67">
        <f t="shared" si="8"/>
        <v>31.402330374351106</v>
      </c>
      <c r="R21" s="67"/>
      <c r="S21" s="50">
        <f t="shared" ref="S21:T21" si="9">+S20/S19*1000</f>
        <v>31.526640967418277</v>
      </c>
      <c r="T21" s="67">
        <f t="shared" si="9"/>
        <v>31.526647568252624</v>
      </c>
      <c r="U21" s="67"/>
      <c r="V21" s="50" t="e">
        <f t="shared" ref="V21" si="10">+V20/V19*1000</f>
        <v>#DIV/0!</v>
      </c>
      <c r="W21" s="67" t="e">
        <f t="shared" ref="W21:AC21" si="11">+W20/W19*1000</f>
        <v>#DIV/0!</v>
      </c>
      <c r="X21" s="67"/>
      <c r="Y21" s="50" t="e">
        <f t="shared" ref="Y21" si="12">+Y20/Y19*1000</f>
        <v>#DIV/0!</v>
      </c>
      <c r="Z21" s="75" t="e">
        <f t="shared" si="11"/>
        <v>#DIV/0!</v>
      </c>
      <c r="AA21" s="75"/>
      <c r="AB21" s="50" t="e">
        <f t="shared" si="11"/>
        <v>#DIV/0!</v>
      </c>
      <c r="AC21" s="67" t="e">
        <f t="shared" si="11"/>
        <v>#DIV/0!</v>
      </c>
      <c r="AD21" s="67"/>
      <c r="AE21" s="50" t="e">
        <f t="shared" ref="AE21:AF21" si="13">+AE20/AE19*1000</f>
        <v>#DIV/0!</v>
      </c>
      <c r="AF21" s="67" t="e">
        <f t="shared" si="13"/>
        <v>#DIV/0!</v>
      </c>
      <c r="AG21" s="67"/>
      <c r="AH21" s="50" t="e">
        <f t="shared" ref="AH21:AI21" si="14">+AH20/AH19*1000</f>
        <v>#DIV/0!</v>
      </c>
      <c r="AI21" s="67" t="e">
        <f t="shared" si="14"/>
        <v>#DIV/0!</v>
      </c>
      <c r="AJ21" s="67"/>
      <c r="AK21" s="50" t="e">
        <f t="shared" ref="AK21" si="15">+AK20/AK19*1000</f>
        <v>#DIV/0!</v>
      </c>
      <c r="AL21" s="19"/>
      <c r="AM21" s="19"/>
      <c r="AN21" s="19"/>
      <c r="AO21" s="19"/>
      <c r="AP21" s="51">
        <f>+AP20/AP19*1000</f>
        <v>30.684912760862137</v>
      </c>
      <c r="AQ21" s="75">
        <f>+AQ20/AQ19*1000</f>
        <v>30.830445710742396</v>
      </c>
      <c r="AR21" s="75"/>
      <c r="AS21" s="51">
        <f>+AS20/AS19*1000</f>
        <v>30.684912760862137</v>
      </c>
      <c r="AT21" s="75">
        <f>+AT20/AT19*1000</f>
        <v>30.830445710742396</v>
      </c>
    </row>
    <row r="22" spans="2:47">
      <c r="B22" s="21" t="s">
        <v>31</v>
      </c>
      <c r="C22" s="19"/>
      <c r="D22" s="52">
        <f>+D19/D18</f>
        <v>0.13566064195930413</v>
      </c>
      <c r="E22" s="52">
        <f>+E19/E18</f>
        <v>135.66064195930414</v>
      </c>
      <c r="F22" s="52"/>
      <c r="G22" s="52">
        <f>+G19/G18</f>
        <v>0.13923643268099592</v>
      </c>
      <c r="H22" s="52">
        <f>+H19/H18</f>
        <v>0.13923643268099592</v>
      </c>
      <c r="I22" s="52"/>
      <c r="J22" s="52">
        <f>+J19/J18</f>
        <v>0.14203642094204166</v>
      </c>
      <c r="K22" s="52">
        <f>+K19/K18</f>
        <v>0.14203642094204166</v>
      </c>
      <c r="L22" s="52"/>
      <c r="M22" s="52">
        <f>+M19/M18</f>
        <v>0.13444264812868806</v>
      </c>
      <c r="N22" s="52">
        <f>+N19/N18</f>
        <v>0.13444264812868806</v>
      </c>
      <c r="O22" s="52"/>
      <c r="P22" s="52">
        <f>+P19/P18</f>
        <v>0.12788162273994783</v>
      </c>
      <c r="Q22" s="52">
        <f>+Q19/Q18</f>
        <v>0.12788162273994783</v>
      </c>
      <c r="R22" s="52"/>
      <c r="S22" s="52">
        <f>+S19/S18</f>
        <v>0.13894891314317162</v>
      </c>
      <c r="T22" s="52">
        <f>+T19/T18</f>
        <v>0.13894891314317162</v>
      </c>
      <c r="U22" s="52"/>
      <c r="V22" s="52" t="e">
        <f>+V19/V18</f>
        <v>#DIV/0!</v>
      </c>
      <c r="W22" s="52" t="e">
        <f>+W19/W18</f>
        <v>#DIV/0!</v>
      </c>
      <c r="X22" s="52"/>
      <c r="Y22" s="52" t="e">
        <f>+Y19/Y18</f>
        <v>#DIV/0!</v>
      </c>
      <c r="Z22" s="52" t="e">
        <f>+Z19/Z18</f>
        <v>#DIV/0!</v>
      </c>
      <c r="AA22" s="76"/>
      <c r="AB22" s="52" t="e">
        <f>+AB19/AB18</f>
        <v>#DIV/0!</v>
      </c>
      <c r="AC22" s="52" t="e">
        <f>+AC19/AC18</f>
        <v>#DIV/0!</v>
      </c>
      <c r="AD22" s="52"/>
      <c r="AE22" s="52" t="e">
        <f>+AE19/AE18</f>
        <v>#DIV/0!</v>
      </c>
      <c r="AF22" s="52" t="e">
        <f>+AF19/AF18</f>
        <v>#DIV/0!</v>
      </c>
      <c r="AG22" s="52"/>
      <c r="AH22" s="52" t="e">
        <f>+AH19/AH18</f>
        <v>#DIV/0!</v>
      </c>
      <c r="AI22" s="52" t="e">
        <f>+AI19/AI18</f>
        <v>#DIV/0!</v>
      </c>
      <c r="AJ22" s="52"/>
      <c r="AK22" s="52" t="e">
        <f>+AK19/AK18</f>
        <v>#DIV/0!</v>
      </c>
      <c r="AL22" s="19"/>
      <c r="AM22" s="19"/>
      <c r="AN22" s="19"/>
      <c r="AO22" s="19"/>
      <c r="AP22" s="53">
        <f>+AP19/AP18</f>
        <v>0.13634764801910637</v>
      </c>
      <c r="AQ22" s="52">
        <f>+AQ19/AQ18</f>
        <v>0.16406646372367534</v>
      </c>
      <c r="AR22" s="76"/>
      <c r="AS22" s="52">
        <f>+AS19/AS18</f>
        <v>0.13634764801910637</v>
      </c>
      <c r="AT22" s="52">
        <f>+AT19/AT18</f>
        <v>0.16406646372367537</v>
      </c>
    </row>
    <row r="23" spans="2:47">
      <c r="B23" s="10" t="s">
        <v>26</v>
      </c>
      <c r="C23" s="10"/>
      <c r="D23" s="54">
        <f>+D20*1000/(D18*D21)*100</f>
        <v>13.566064195930414</v>
      </c>
      <c r="E23" s="54">
        <f>+E20*1000/(E18*E21)*100</f>
        <v>13566.064195930418</v>
      </c>
      <c r="F23" s="54"/>
      <c r="G23" s="54">
        <f>+G20*1000/(G18*G21)*100</f>
        <v>13.923643268099589</v>
      </c>
      <c r="H23" s="54">
        <f>+H20*1000/(H18*H21)*100</f>
        <v>13.923643268099589</v>
      </c>
      <c r="I23" s="54"/>
      <c r="J23" s="54">
        <f>+J20*1000/(J18*J21)*100</f>
        <v>14.203642094204168</v>
      </c>
      <c r="K23" s="54">
        <f>+K20*1000/(K18*K21)*100</f>
        <v>14.203642094204167</v>
      </c>
      <c r="L23" s="54"/>
      <c r="M23" s="54">
        <f>+M20*1000/(M18*M21)*100</f>
        <v>13.444264812868809</v>
      </c>
      <c r="N23" s="54">
        <f>+N20*1000/(N18*N21)*100</f>
        <v>13.444264812868806</v>
      </c>
      <c r="O23" s="54"/>
      <c r="P23" s="54">
        <f>+P20*1000/(P18*P21)*100</f>
        <v>12.788162273994786</v>
      </c>
      <c r="Q23" s="54">
        <f>+Q20*1000/(Q18*Q21)*100</f>
        <v>12.788162273994786</v>
      </c>
      <c r="R23" s="54"/>
      <c r="S23" s="54">
        <f>+S20*1000/(S18*S21)*100</f>
        <v>13.894891314317162</v>
      </c>
      <c r="T23" s="54">
        <f>+T20*1000/(T18*T21)*100</f>
        <v>13.894891314317162</v>
      </c>
      <c r="U23" s="54"/>
      <c r="V23" s="54" t="e">
        <f>+V20*1000/(V18*V21)*100</f>
        <v>#DIV/0!</v>
      </c>
      <c r="W23" s="54" t="e">
        <f>+W20*1000/(W18*W21)*100</f>
        <v>#DIV/0!</v>
      </c>
      <c r="X23" s="54"/>
      <c r="Y23" s="54" t="e">
        <f>+Y20*1000/(Y18*Y21)*100</f>
        <v>#DIV/0!</v>
      </c>
      <c r="Z23" s="54" t="e">
        <f>+Z20*1000/(Z18*Z21)*100</f>
        <v>#DIV/0!</v>
      </c>
      <c r="AA23" s="77"/>
      <c r="AB23" s="54" t="e">
        <f>+AB20*1000/(AB18*AB21)*100</f>
        <v>#DIV/0!</v>
      </c>
      <c r="AC23" s="54" t="e">
        <f>+AC20*1000/(AC18*AC21)*100</f>
        <v>#DIV/0!</v>
      </c>
      <c r="AD23" s="54"/>
      <c r="AE23" s="54" t="e">
        <f>+AE20*1000/(AE18*AE21)*100</f>
        <v>#DIV/0!</v>
      </c>
      <c r="AF23" s="54" t="e">
        <f>+AF20*1000/(AF18*AF21)*100</f>
        <v>#DIV/0!</v>
      </c>
      <c r="AG23" s="54"/>
      <c r="AH23" s="54" t="e">
        <f>+AH20*1000/(AH18*AH21)*100</f>
        <v>#DIV/0!</v>
      </c>
      <c r="AI23" s="54" t="e">
        <f>+AI20*1000/(AI18*AI21)*100</f>
        <v>#DIV/0!</v>
      </c>
      <c r="AJ23" s="54"/>
      <c r="AK23" s="54" t="e">
        <f>+AK20*1000/(AK18*AK21)*100</f>
        <v>#DIV/0!</v>
      </c>
      <c r="AL23" s="19"/>
      <c r="AM23" s="19"/>
      <c r="AN23" s="19"/>
      <c r="AO23" s="19"/>
      <c r="AP23" s="55">
        <f>+AP20/(AP18*AP21)*1000*100</f>
        <v>13.634764801910634</v>
      </c>
      <c r="AQ23" s="54">
        <f>+AQ20*1000/(AQ18*AQ21)*100</f>
        <v>16.406646372367536</v>
      </c>
      <c r="AR23" s="77"/>
      <c r="AS23" s="54">
        <f>+AS20*1000/(AS18*AS21)*100</f>
        <v>13.634764801910638</v>
      </c>
      <c r="AT23" s="54">
        <f>+AT20*1000/(AT18*AT21)*100</f>
        <v>16.406646372367536</v>
      </c>
    </row>
    <row r="24" spans="2:47">
      <c r="B24" s="21" t="s">
        <v>44</v>
      </c>
      <c r="C24" s="10"/>
      <c r="D24" s="54">
        <f>+D20/D18*1000</f>
        <v>4.0304197585347632</v>
      </c>
      <c r="E24" s="54">
        <f>+E20/E18*1000</f>
        <v>4093.7209901677943</v>
      </c>
      <c r="F24" s="81"/>
      <c r="G24" s="54">
        <f>+G20/G18*1000</f>
        <v>4.1118720522346699</v>
      </c>
      <c r="H24" s="54">
        <f>+H20/H18*1000</f>
        <v>4.1670987373999235</v>
      </c>
      <c r="I24" s="81"/>
      <c r="J24" s="54">
        <f>+J20/J18*1000</f>
        <v>4.3883382945193485</v>
      </c>
      <c r="K24" s="54">
        <f>+K20/K18*1000</f>
        <v>4.3883391700227632</v>
      </c>
      <c r="L24" s="81"/>
      <c r="M24" s="54">
        <f>+M20/M18*1000</f>
        <v>4.1821994988279041</v>
      </c>
      <c r="N24" s="54">
        <f>+N20/N18*1000</f>
        <v>4.1822003071699942</v>
      </c>
      <c r="O24" s="81"/>
      <c r="P24" s="54">
        <f>+P20/P18*1000</f>
        <v>4.0149680669245296</v>
      </c>
      <c r="Q24" s="54">
        <f>+Q20/Q18*1000</f>
        <v>4.0157809660879735</v>
      </c>
      <c r="R24" s="81"/>
      <c r="S24" s="54">
        <f>+S20/S18*1000</f>
        <v>4.3805924974777586</v>
      </c>
      <c r="T24" s="54">
        <f>+T20/T18*1000</f>
        <v>4.3805934146565164</v>
      </c>
      <c r="U24" s="81"/>
      <c r="V24" s="54" t="e">
        <f>+V20/V18*1000</f>
        <v>#DIV/0!</v>
      </c>
      <c r="W24" s="54" t="e">
        <f>+W20/W18*1000</f>
        <v>#DIV/0!</v>
      </c>
      <c r="X24" s="81"/>
      <c r="Y24" s="54" t="e">
        <f>+Y20/Y18*1000</f>
        <v>#DIV/0!</v>
      </c>
      <c r="Z24" s="54" t="e">
        <f>+Z20/Z18*1000</f>
        <v>#DIV/0!</v>
      </c>
      <c r="AA24" s="54"/>
      <c r="AB24" s="54" t="e">
        <f>+AB20/AB18*1000</f>
        <v>#DIV/0!</v>
      </c>
      <c r="AC24" s="54" t="e">
        <f>+AC20/AC18*1000</f>
        <v>#DIV/0!</v>
      </c>
      <c r="AD24" s="54"/>
      <c r="AE24" s="54" t="e">
        <f>+AE20/AE18*1000</f>
        <v>#DIV/0!</v>
      </c>
      <c r="AF24" s="54" t="e">
        <f>+AF20/AF18*1000</f>
        <v>#DIV/0!</v>
      </c>
      <c r="AG24" s="54"/>
      <c r="AH24" s="54" t="e">
        <f>+AH20/AH18*1000</f>
        <v>#DIV/0!</v>
      </c>
      <c r="AI24" s="54" t="e">
        <f>+AI20/AI18*1000</f>
        <v>#DIV/0!</v>
      </c>
      <c r="AJ24" s="54"/>
      <c r="AK24" s="54" t="e">
        <f>+AK20/AK18*1000</f>
        <v>#DIV/0!</v>
      </c>
      <c r="AL24" s="19"/>
      <c r="AM24" s="19"/>
      <c r="AN24" s="19"/>
      <c r="AO24" s="19"/>
      <c r="AP24" s="54">
        <f>+AP20/AP18*1000</f>
        <v>4.1838156846150163</v>
      </c>
      <c r="AQ24" s="54">
        <f>+AQ20/AQ18*1000</f>
        <v>5.0582422027862597</v>
      </c>
      <c r="AR24" s="77"/>
      <c r="AS24" s="54">
        <f>+AS20/AS18*1000</f>
        <v>4.1838156846150163</v>
      </c>
      <c r="AT24" s="54">
        <f>+AT20/AT18*1000</f>
        <v>5.0582422027862597</v>
      </c>
    </row>
    <row r="25" spans="2:47" ht="7.5" customHeight="1">
      <c r="B25" s="19"/>
      <c r="Z25" s="78"/>
      <c r="AA25" s="78"/>
    </row>
    <row r="26" spans="2:47" ht="12.75" customHeight="1">
      <c r="B26" s="20" t="s">
        <v>46</v>
      </c>
      <c r="F26" s="95">
        <v>3</v>
      </c>
      <c r="I26" s="95">
        <v>3</v>
      </c>
      <c r="L26" s="95">
        <v>3</v>
      </c>
      <c r="O26" s="95">
        <v>3</v>
      </c>
      <c r="R26" s="95">
        <v>3</v>
      </c>
      <c r="U26" s="95">
        <v>4</v>
      </c>
      <c r="X26" s="95">
        <v>0</v>
      </c>
      <c r="Z26" s="78"/>
      <c r="AA26" s="95">
        <v>0</v>
      </c>
      <c r="AD26" s="95">
        <v>0</v>
      </c>
      <c r="AG26" s="95">
        <v>0</v>
      </c>
      <c r="AJ26" s="95">
        <v>0</v>
      </c>
      <c r="AM26" s="100">
        <v>0</v>
      </c>
      <c r="AR26" s="96">
        <f>+(X26*8+AD26+AG26+AJ26+AM26+AA26+U26+R26+O26+L26+I26+F26)/AS4</f>
        <v>3.1666666666666665</v>
      </c>
      <c r="AU26" s="20">
        <f>+AR26</f>
        <v>3.1666666666666665</v>
      </c>
    </row>
    <row r="27" spans="2:47" ht="15" customHeight="1">
      <c r="B27" s="20" t="s">
        <v>36</v>
      </c>
      <c r="D27" s="11">
        <v>23</v>
      </c>
      <c r="E27" s="11"/>
      <c r="F27" s="11">
        <f>+D27/F26</f>
        <v>7.666666666666667</v>
      </c>
      <c r="G27" s="11">
        <v>4.5</v>
      </c>
      <c r="H27" s="11"/>
      <c r="I27" s="11">
        <f>+G27/I26</f>
        <v>1.5</v>
      </c>
      <c r="J27" s="11">
        <v>11</v>
      </c>
      <c r="K27" s="11"/>
      <c r="L27" s="11">
        <f>+J27/L26</f>
        <v>3.6666666666666665</v>
      </c>
      <c r="M27" s="11">
        <v>5</v>
      </c>
      <c r="N27" s="11"/>
      <c r="O27" s="11">
        <f>+M27/O26</f>
        <v>1.6666666666666667</v>
      </c>
      <c r="P27" s="11">
        <v>4</v>
      </c>
      <c r="Q27" s="11"/>
      <c r="R27" s="11">
        <f>+P27/R26</f>
        <v>1.3333333333333333</v>
      </c>
      <c r="S27" s="11">
        <v>6</v>
      </c>
      <c r="T27" s="11"/>
      <c r="U27" s="11">
        <f>+S27/U26</f>
        <v>1.5</v>
      </c>
      <c r="V27" s="11">
        <v>0</v>
      </c>
      <c r="W27" s="11"/>
      <c r="X27" s="11" t="e">
        <f>+V27/X26</f>
        <v>#DIV/0!</v>
      </c>
      <c r="Y27" s="11">
        <v>0</v>
      </c>
      <c r="Z27" s="74"/>
      <c r="AA27" s="11" t="e">
        <f>+Y27/AA26</f>
        <v>#DIV/0!</v>
      </c>
      <c r="AB27" s="11">
        <v>0</v>
      </c>
      <c r="AC27" s="11"/>
      <c r="AD27" s="11" t="e">
        <f>+AB27/AD26</f>
        <v>#DIV/0!</v>
      </c>
      <c r="AE27" s="11">
        <v>0</v>
      </c>
      <c r="AF27" s="11"/>
      <c r="AG27" s="11" t="e">
        <f>+AE27/AG26</f>
        <v>#DIV/0!</v>
      </c>
      <c r="AH27" s="11">
        <v>0</v>
      </c>
      <c r="AI27" s="11"/>
      <c r="AJ27" s="11" t="e">
        <f>+AH27/AJ26</f>
        <v>#DIV/0!</v>
      </c>
      <c r="AK27" s="11">
        <v>0</v>
      </c>
      <c r="AM27" s="11" t="e">
        <f>+AK27/AM26</f>
        <v>#DIV/0!</v>
      </c>
      <c r="AP27" s="27">
        <f t="shared" ref="AP27:AP31" si="16">+V27+AB27+AE27+AH27+AK27+Y27+S27+P27+M27+J27+G27+D27</f>
        <v>53.5</v>
      </c>
      <c r="AR27" s="11">
        <f>+AP27/AR26</f>
        <v>16.894736842105264</v>
      </c>
      <c r="AS27" s="16">
        <f t="shared" ref="AS27:AS31" si="17">+AP27/$AS$4</f>
        <v>8.9166666666666661</v>
      </c>
      <c r="AU27" s="11">
        <f>+AS27/AU26</f>
        <v>2.8157894736842106</v>
      </c>
    </row>
    <row r="28" spans="2:47" ht="15" customHeight="1">
      <c r="B28" s="20" t="s">
        <v>39</v>
      </c>
      <c r="D28" s="11">
        <v>504</v>
      </c>
      <c r="E28" s="11"/>
      <c r="F28" s="11">
        <f>+D28/F26</f>
        <v>168</v>
      </c>
      <c r="G28" s="11">
        <v>480</v>
      </c>
      <c r="H28" s="11"/>
      <c r="I28" s="11">
        <f>+G28/I26</f>
        <v>160</v>
      </c>
      <c r="J28" s="11">
        <v>528</v>
      </c>
      <c r="K28" s="11"/>
      <c r="L28" s="11">
        <f>+J28/L26</f>
        <v>176</v>
      </c>
      <c r="M28" s="11">
        <v>504</v>
      </c>
      <c r="N28" s="11"/>
      <c r="O28" s="11">
        <f>+M28/O26</f>
        <v>168</v>
      </c>
      <c r="P28" s="11">
        <v>456</v>
      </c>
      <c r="Q28" s="11"/>
      <c r="R28" s="11">
        <f>+P28/R26</f>
        <v>152</v>
      </c>
      <c r="S28" s="11">
        <v>704</v>
      </c>
      <c r="T28" s="11"/>
      <c r="U28" s="11">
        <f>+S28/U26</f>
        <v>176</v>
      </c>
      <c r="V28" s="11">
        <v>0</v>
      </c>
      <c r="W28" s="11"/>
      <c r="X28" s="11" t="e">
        <f>+V28/X26</f>
        <v>#DIV/0!</v>
      </c>
      <c r="Y28" s="11">
        <v>0</v>
      </c>
      <c r="Z28" s="74"/>
      <c r="AA28" s="11" t="e">
        <f>+Y28/AA26</f>
        <v>#DIV/0!</v>
      </c>
      <c r="AB28" s="11">
        <v>0</v>
      </c>
      <c r="AC28" s="11"/>
      <c r="AD28" s="11" t="e">
        <f>+AB28/AD26</f>
        <v>#DIV/0!</v>
      </c>
      <c r="AE28" s="11">
        <v>0</v>
      </c>
      <c r="AF28" s="11"/>
      <c r="AG28" s="11" t="e">
        <f>+AE28/AG26</f>
        <v>#DIV/0!</v>
      </c>
      <c r="AH28" s="11">
        <v>0</v>
      </c>
      <c r="AI28" s="11"/>
      <c r="AJ28" s="11" t="e">
        <f>+AH28/AJ26</f>
        <v>#DIV/0!</v>
      </c>
      <c r="AK28" s="11">
        <v>0</v>
      </c>
      <c r="AM28" s="11" t="e">
        <f>+AK28/AM26</f>
        <v>#DIV/0!</v>
      </c>
      <c r="AP28" s="27">
        <f t="shared" si="16"/>
        <v>3176</v>
      </c>
      <c r="AR28" s="11">
        <f>+AP28/AR26</f>
        <v>1002.9473684210527</v>
      </c>
      <c r="AS28" s="16">
        <f t="shared" si="17"/>
        <v>529.33333333333337</v>
      </c>
      <c r="AU28" s="11">
        <f>+AS28/AU26</f>
        <v>167.15789473684214</v>
      </c>
    </row>
    <row r="29" spans="2:47" ht="15" customHeight="1">
      <c r="B29" s="21" t="s">
        <v>40</v>
      </c>
      <c r="D29" s="38">
        <f>+D27/D28</f>
        <v>4.5634920634920632E-2</v>
      </c>
      <c r="E29" s="8"/>
      <c r="F29" s="38">
        <f>+F27/F28</f>
        <v>4.5634920634920639E-2</v>
      </c>
      <c r="G29" s="38">
        <f>+G27/G28</f>
        <v>9.3749999999999997E-3</v>
      </c>
      <c r="H29" s="8"/>
      <c r="I29" s="38">
        <f>+I27/I28</f>
        <v>9.3749999999999997E-3</v>
      </c>
      <c r="J29" s="38">
        <f>+J27/J28</f>
        <v>2.0833333333333332E-2</v>
      </c>
      <c r="K29" s="8"/>
      <c r="L29" s="38">
        <f>+L27/L28</f>
        <v>2.0833333333333332E-2</v>
      </c>
      <c r="M29" s="38">
        <f>+M27/M28</f>
        <v>9.9206349206349201E-3</v>
      </c>
      <c r="N29" s="8"/>
      <c r="O29" s="38">
        <f>+O27/O28</f>
        <v>9.9206349206349218E-3</v>
      </c>
      <c r="P29" s="38">
        <f>+P27/P28</f>
        <v>8.771929824561403E-3</v>
      </c>
      <c r="Q29" s="8"/>
      <c r="R29" s="38">
        <f>+R27/R28</f>
        <v>8.771929824561403E-3</v>
      </c>
      <c r="S29" s="38">
        <f>+S27/S28</f>
        <v>8.5227272727272721E-3</v>
      </c>
      <c r="T29" s="8"/>
      <c r="U29" s="38">
        <f>+U27/U28</f>
        <v>8.5227272727272721E-3</v>
      </c>
      <c r="V29" s="38" t="e">
        <f>+V27/V28</f>
        <v>#DIV/0!</v>
      </c>
      <c r="W29" s="8"/>
      <c r="X29" s="38" t="e">
        <f>+X27/X28</f>
        <v>#DIV/0!</v>
      </c>
      <c r="Y29" s="38" t="e">
        <f>+Y27/Y28</f>
        <v>#DIV/0!</v>
      </c>
      <c r="Z29" s="74"/>
      <c r="AA29" s="38" t="e">
        <f>+AA27/AA28</f>
        <v>#DIV/0!</v>
      </c>
      <c r="AB29" s="38" t="e">
        <f>+AB27/AB28</f>
        <v>#DIV/0!</v>
      </c>
      <c r="AC29" s="8"/>
      <c r="AD29" s="38" t="e">
        <f>+AD27/AD28</f>
        <v>#DIV/0!</v>
      </c>
      <c r="AE29" s="38" t="e">
        <f>+AE27/AE28</f>
        <v>#DIV/0!</v>
      </c>
      <c r="AF29" s="8"/>
      <c r="AG29" s="38" t="e">
        <f>+AG27/AG28</f>
        <v>#DIV/0!</v>
      </c>
      <c r="AH29" s="38" t="e">
        <f>+AH27/AH28</f>
        <v>#DIV/0!</v>
      </c>
      <c r="AI29" s="8"/>
      <c r="AJ29" s="38" t="e">
        <f>+AJ27/AJ28</f>
        <v>#DIV/0!</v>
      </c>
      <c r="AK29" s="38" t="e">
        <f>+AK27/AK28</f>
        <v>#DIV/0!</v>
      </c>
      <c r="AM29" s="38" t="e">
        <f>+AM27/AM28</f>
        <v>#DIV/0!</v>
      </c>
      <c r="AP29" s="38">
        <f>+AP27/AP28</f>
        <v>1.6845088161209068E-2</v>
      </c>
      <c r="AR29" s="38">
        <f>+AR27/AR28</f>
        <v>1.6845088161209068E-2</v>
      </c>
      <c r="AS29" s="38">
        <f>+AS27/AS28</f>
        <v>1.6845088161209065E-2</v>
      </c>
      <c r="AU29" s="38">
        <f>+AU27/AU28</f>
        <v>1.6845088161209065E-2</v>
      </c>
    </row>
    <row r="30" spans="2:47" ht="15" customHeight="1">
      <c r="B30" s="20" t="s">
        <v>32</v>
      </c>
      <c r="D30" s="11">
        <v>140.01</v>
      </c>
      <c r="E30" s="11"/>
      <c r="F30" s="11">
        <f>+D30/F26</f>
        <v>46.669999999999995</v>
      </c>
      <c r="G30" s="11">
        <v>25.02</v>
      </c>
      <c r="H30" s="11"/>
      <c r="I30" s="11">
        <f>+G30/I26</f>
        <v>8.34</v>
      </c>
      <c r="J30" s="11">
        <v>20</v>
      </c>
      <c r="K30" s="11"/>
      <c r="L30" s="11">
        <f>+J30/L26</f>
        <v>6.666666666666667</v>
      </c>
      <c r="M30" s="11">
        <v>5</v>
      </c>
      <c r="N30" s="11"/>
      <c r="O30" s="11">
        <f>+M30/O26</f>
        <v>1.6666666666666667</v>
      </c>
      <c r="P30" s="11">
        <v>80</v>
      </c>
      <c r="Q30" s="11"/>
      <c r="R30" s="11">
        <f>+P30/R26</f>
        <v>26.666666666666668</v>
      </c>
      <c r="S30" s="11">
        <v>15</v>
      </c>
      <c r="T30" s="11"/>
      <c r="U30" s="11">
        <f>+S30/U26</f>
        <v>3.75</v>
      </c>
      <c r="V30" s="11">
        <v>0</v>
      </c>
      <c r="W30" s="11"/>
      <c r="X30" s="11" t="e">
        <f>+V30/X26</f>
        <v>#DIV/0!</v>
      </c>
      <c r="Y30" s="11">
        <v>0</v>
      </c>
      <c r="Z30" s="74"/>
      <c r="AA30" s="11" t="e">
        <f>+Y30/AA26</f>
        <v>#DIV/0!</v>
      </c>
      <c r="AB30" s="11">
        <v>0</v>
      </c>
      <c r="AC30" s="11"/>
      <c r="AD30" s="11" t="e">
        <f>+AB30/AD26</f>
        <v>#DIV/0!</v>
      </c>
      <c r="AE30" s="11">
        <v>0</v>
      </c>
      <c r="AF30" s="11"/>
      <c r="AG30" s="11" t="e">
        <f>+AE30/AG26</f>
        <v>#DIV/0!</v>
      </c>
      <c r="AH30" s="11">
        <v>0</v>
      </c>
      <c r="AI30" s="11"/>
      <c r="AJ30" s="11" t="e">
        <f>+AH30/AJ26</f>
        <v>#DIV/0!</v>
      </c>
      <c r="AK30" s="11">
        <v>0</v>
      </c>
      <c r="AM30" s="11" t="e">
        <f>+AK30/AM26</f>
        <v>#DIV/0!</v>
      </c>
      <c r="AP30" s="27">
        <f t="shared" si="16"/>
        <v>285.02999999999997</v>
      </c>
      <c r="AR30" s="11">
        <f>+AP30/AR26</f>
        <v>90.009473684210519</v>
      </c>
      <c r="AS30" s="16">
        <f t="shared" si="17"/>
        <v>47.504999999999995</v>
      </c>
      <c r="AU30" s="11">
        <f>+AS30/AU26</f>
        <v>15.00157894736842</v>
      </c>
    </row>
    <row r="31" spans="2:47" ht="15" customHeight="1">
      <c r="B31" s="20" t="s">
        <v>33</v>
      </c>
      <c r="D31" s="11">
        <v>4.2332999999999998</v>
      </c>
      <c r="E31" s="27"/>
      <c r="F31" s="11">
        <f>+D31/F26</f>
        <v>1.4111</v>
      </c>
      <c r="G31" s="11">
        <v>0.74799000000000004</v>
      </c>
      <c r="H31" s="27"/>
      <c r="I31" s="11">
        <f>+G31/I26</f>
        <v>0.24933000000000002</v>
      </c>
      <c r="J31" s="11">
        <v>0.628</v>
      </c>
      <c r="K31" s="27"/>
      <c r="L31" s="11">
        <f>+J31/L26</f>
        <v>0.20933333333333334</v>
      </c>
      <c r="M31" s="11">
        <v>0.15601000000000001</v>
      </c>
      <c r="N31" s="27"/>
      <c r="O31" s="11">
        <f>+M31/O26</f>
        <v>5.2003333333333339E-2</v>
      </c>
      <c r="P31" s="11">
        <v>2.5206</v>
      </c>
      <c r="Q31" s="27"/>
      <c r="R31" s="11">
        <f>+P31/R26</f>
        <v>0.84019999999999995</v>
      </c>
      <c r="S31" s="11">
        <v>0.47400999999999999</v>
      </c>
      <c r="T31" s="27"/>
      <c r="U31" s="11">
        <f>+S31/U26</f>
        <v>0.1185025</v>
      </c>
      <c r="V31" s="11">
        <v>0</v>
      </c>
      <c r="W31" s="27"/>
      <c r="X31" s="11" t="e">
        <f>+V31/X26</f>
        <v>#DIV/0!</v>
      </c>
      <c r="Y31" s="11">
        <v>0</v>
      </c>
      <c r="Z31" s="74"/>
      <c r="AA31" s="11" t="e">
        <f>+Y31/AA26</f>
        <v>#DIV/0!</v>
      </c>
      <c r="AB31" s="11">
        <v>0</v>
      </c>
      <c r="AC31" s="27"/>
      <c r="AD31" s="11" t="e">
        <f>+AB31/AD26</f>
        <v>#DIV/0!</v>
      </c>
      <c r="AE31" s="11">
        <v>0</v>
      </c>
      <c r="AF31" s="27"/>
      <c r="AG31" s="11" t="e">
        <f>+AE31/AG26</f>
        <v>#DIV/0!</v>
      </c>
      <c r="AH31" s="11">
        <v>0</v>
      </c>
      <c r="AI31" s="27"/>
      <c r="AJ31" s="11" t="e">
        <f>+AH31/AJ26</f>
        <v>#DIV/0!</v>
      </c>
      <c r="AK31" s="11">
        <v>0</v>
      </c>
      <c r="AM31" s="11" t="e">
        <f>+AK31/AM26</f>
        <v>#DIV/0!</v>
      </c>
      <c r="AP31" s="27">
        <f t="shared" si="16"/>
        <v>8.7599099999999996</v>
      </c>
      <c r="AR31" s="11">
        <f>+AP31/AR26</f>
        <v>2.7662873684210525</v>
      </c>
      <c r="AS31" s="16">
        <f t="shared" si="17"/>
        <v>1.4599849999999999</v>
      </c>
      <c r="AU31" s="11">
        <f>+AS31/AU26</f>
        <v>0.4610478947368421</v>
      </c>
    </row>
    <row r="32" spans="2:47" ht="15" customHeight="1">
      <c r="B32" s="21" t="s">
        <v>34</v>
      </c>
      <c r="D32" s="50">
        <f>+D31/D30*1000</f>
        <v>30.23569745018213</v>
      </c>
      <c r="G32" s="50">
        <f>+G31/G30*1000</f>
        <v>29.895683453237414</v>
      </c>
      <c r="J32" s="50">
        <f>+J31/J30*1000</f>
        <v>31.4</v>
      </c>
      <c r="M32" s="50">
        <f>+M31/M30*1000</f>
        <v>31.202000000000002</v>
      </c>
      <c r="P32" s="50">
        <f>+P31/P30*1000</f>
        <v>31.5075</v>
      </c>
      <c r="S32" s="50">
        <f>+S31/S30*1000</f>
        <v>31.600666666666665</v>
      </c>
      <c r="V32" s="50" t="e">
        <f>+V31/V30*1000</f>
        <v>#DIV/0!</v>
      </c>
      <c r="Y32" s="50" t="e">
        <f>+Y31/Y30*1000</f>
        <v>#DIV/0!</v>
      </c>
      <c r="Z32" s="78"/>
      <c r="AA32" s="78"/>
      <c r="AB32" s="50" t="e">
        <f>+AB31/AB30*1000</f>
        <v>#DIV/0!</v>
      </c>
      <c r="AE32" s="50" t="e">
        <f>+AE31/AE30*1000</f>
        <v>#DIV/0!</v>
      </c>
      <c r="AH32" s="50" t="e">
        <f>+AH31/AH30*1000</f>
        <v>#DIV/0!</v>
      </c>
      <c r="AK32" s="50" t="e">
        <f>+AK31/AK30*1000</f>
        <v>#DIV/0!</v>
      </c>
      <c r="AP32" s="50">
        <f>+AP31/AP30*1000</f>
        <v>30.733291232501845</v>
      </c>
      <c r="AS32" s="50">
        <f>+AS31/AS30*1000</f>
        <v>30.733291232501845</v>
      </c>
    </row>
    <row r="33" spans="2:46" ht="15" customHeight="1">
      <c r="B33" s="21" t="s">
        <v>35</v>
      </c>
      <c r="D33" s="52">
        <f>+D30/D27</f>
        <v>6.0873913043478254</v>
      </c>
      <c r="G33" s="52">
        <f>+G30/G27</f>
        <v>5.56</v>
      </c>
      <c r="J33" s="52">
        <f>+J30/J27</f>
        <v>1.8181818181818181</v>
      </c>
      <c r="M33" s="52">
        <f>+M30/M27</f>
        <v>1</v>
      </c>
      <c r="P33" s="52">
        <f>+P30/P27</f>
        <v>20</v>
      </c>
      <c r="S33" s="52">
        <f>+S30/S27</f>
        <v>2.5</v>
      </c>
      <c r="V33" s="52" t="e">
        <f>+V30/V27</f>
        <v>#DIV/0!</v>
      </c>
      <c r="Y33" s="52" t="e">
        <f>+Y30/Y27</f>
        <v>#DIV/0!</v>
      </c>
      <c r="Z33" s="70"/>
      <c r="AA33" s="70"/>
      <c r="AB33" s="52" t="e">
        <f>+AB30/AB27</f>
        <v>#DIV/0!</v>
      </c>
      <c r="AE33" s="52" t="e">
        <f>+AE30/AE27</f>
        <v>#DIV/0!</v>
      </c>
      <c r="AH33" s="52" t="e">
        <f>+AH30/AH27</f>
        <v>#DIV/0!</v>
      </c>
      <c r="AK33" s="52" t="e">
        <f>+AK30/AK27</f>
        <v>#DIV/0!</v>
      </c>
      <c r="AP33" s="52">
        <f>+AP30/AP27</f>
        <v>5.3276635514018684</v>
      </c>
      <c r="AS33" s="52">
        <f>+AS30/AS27</f>
        <v>5.3276635514018693</v>
      </c>
    </row>
    <row r="34" spans="2:46" ht="15" customHeight="1">
      <c r="B34" s="10" t="s">
        <v>37</v>
      </c>
      <c r="D34" s="54">
        <f>+D31*1000/(D27*D32)*100</f>
        <v>608.73913043478262</v>
      </c>
      <c r="G34" s="54">
        <f>+G31*1000/(G27*G32)*100</f>
        <v>556</v>
      </c>
      <c r="J34" s="54">
        <f>+J31*1000/(J27*J32)*100</f>
        <v>181.81818181818184</v>
      </c>
      <c r="M34" s="54">
        <f>+M31*1000/(M27*M32)*100</f>
        <v>100</v>
      </c>
      <c r="P34" s="54">
        <f>+P31*1000/(P27*P32)*100</f>
        <v>2000</v>
      </c>
      <c r="S34" s="54">
        <f>+S31*1000/(S27*S32)*100</f>
        <v>250</v>
      </c>
      <c r="V34" s="54" t="e">
        <f>+V31*1000/(V27*V32)*100</f>
        <v>#DIV/0!</v>
      </c>
      <c r="Y34" s="54" t="e">
        <f>+Y31*1000/(Y27*Y32)*100</f>
        <v>#DIV/0!</v>
      </c>
      <c r="Z34" s="70"/>
      <c r="AA34" s="70"/>
      <c r="AB34" s="54" t="e">
        <f>+AB31*1000/(AB27*AB32)*100</f>
        <v>#DIV/0!</v>
      </c>
      <c r="AE34" s="54" t="e">
        <f>+AE31*1000/(AE27*AE32)*100</f>
        <v>#DIV/0!</v>
      </c>
      <c r="AH34" s="54" t="e">
        <f>+AH31*1000/(AH27*AH32)*100</f>
        <v>#DIV/0!</v>
      </c>
      <c r="AK34" s="54" t="e">
        <f>+AK31*1000/(AK27*AK32)*100</f>
        <v>#DIV/0!</v>
      </c>
      <c r="AP34" s="54">
        <f>+AP31*1000/(AP27*AP32)*100</f>
        <v>532.76635514018687</v>
      </c>
      <c r="AS34" s="54">
        <f>+AS31*1000/(AS27*AS32)*100</f>
        <v>532.76635514018687</v>
      </c>
    </row>
    <row r="35" spans="2:46" ht="15" customHeight="1">
      <c r="B35" s="21" t="s">
        <v>45</v>
      </c>
      <c r="C35" s="10"/>
      <c r="D35" s="54">
        <f>+D31/D27*1000</f>
        <v>184.05652173913043</v>
      </c>
      <c r="E35" s="54"/>
      <c r="G35" s="54">
        <f>+G31/G27*1000</f>
        <v>166.22</v>
      </c>
      <c r="H35" s="54"/>
      <c r="J35" s="54">
        <f>+J31/J27*1000</f>
        <v>57.090909090909086</v>
      </c>
      <c r="K35" s="54"/>
      <c r="M35" s="54">
        <f>+M31/M27*1000</f>
        <v>31.202000000000002</v>
      </c>
      <c r="N35" s="54"/>
      <c r="P35" s="54">
        <f>+P31/P27*1000</f>
        <v>630.15</v>
      </c>
      <c r="Q35" s="54"/>
      <c r="S35" s="54">
        <f>+S31/S27*1000</f>
        <v>79.001666666666665</v>
      </c>
      <c r="T35" s="54"/>
      <c r="V35" s="54" t="e">
        <f>+V31/V27*1000</f>
        <v>#DIV/0!</v>
      </c>
      <c r="W35" s="54"/>
      <c r="Y35" s="54" t="e">
        <f>+Y31/Y27*1000</f>
        <v>#DIV/0!</v>
      </c>
      <c r="Z35" s="70"/>
      <c r="AA35" s="70"/>
      <c r="AB35" s="54" t="e">
        <f>+AB31/AB27*1000</f>
        <v>#DIV/0!</v>
      </c>
      <c r="AE35" s="54" t="e">
        <f>+AE31/AE27*1000</f>
        <v>#DIV/0!</v>
      </c>
      <c r="AH35" s="54" t="e">
        <f>+AH31/AH27*1000</f>
        <v>#DIV/0!</v>
      </c>
      <c r="AK35" s="54" t="e">
        <f>+AK31/AK27*1000</f>
        <v>#DIV/0!</v>
      </c>
      <c r="AP35" s="54">
        <f>+AP31/AP27*1000</f>
        <v>163.73663551401867</v>
      </c>
      <c r="AS35" s="54">
        <f>+AS31/AS27*1000</f>
        <v>163.73663551401867</v>
      </c>
    </row>
    <row r="36" spans="2:46" ht="7.5" customHeight="1">
      <c r="B36" s="19"/>
      <c r="Z36" s="70"/>
      <c r="AA36" s="70"/>
    </row>
    <row r="37" spans="2:46">
      <c r="B37" s="23" t="s">
        <v>38</v>
      </c>
      <c r="C37" s="22"/>
      <c r="D37" s="24">
        <f>+D8/(1-D6/D5)</f>
        <v>802.03360388056694</v>
      </c>
      <c r="G37" s="24">
        <f>+G8/(1-G6/G5)</f>
        <v>801.33831581996242</v>
      </c>
      <c r="J37" s="24">
        <f>+J8/(1-J6/J5)</f>
        <v>780.08344627496047</v>
      </c>
      <c r="M37" s="24">
        <f>+M8/(1-M6/M5)</f>
        <v>739.53925421207316</v>
      </c>
      <c r="P37" s="24">
        <f>+P8/(1-P6/P5)</f>
        <v>785.06141500278397</v>
      </c>
      <c r="S37" s="24">
        <f>+S8/(1-S6/S5)</f>
        <v>883.61690401813723</v>
      </c>
      <c r="V37" s="24" t="e">
        <f>+V8/(1-V6/V5)</f>
        <v>#DIV/0!</v>
      </c>
      <c r="Y37" s="24" t="e">
        <f>+Y8/(1-Y6/Y5)</f>
        <v>#DIV/0!</v>
      </c>
      <c r="Z37" s="70"/>
      <c r="AA37" s="70"/>
      <c r="AB37" s="24" t="e">
        <f>+AB8/(1-AB6/AB5)</f>
        <v>#DIV/0!</v>
      </c>
      <c r="AE37" s="24" t="e">
        <f>+AE8/(1-AE6/AE5)</f>
        <v>#DIV/0!</v>
      </c>
      <c r="AH37" s="24" t="e">
        <f>+AH8/(1-AH6/AH5)</f>
        <v>#DIV/0!</v>
      </c>
      <c r="AK37" s="24" t="e">
        <f>+AK8/(1-AK6/AK5)</f>
        <v>#DIV/0!</v>
      </c>
      <c r="AP37" s="36">
        <f>+AP8/(1-AP6/AP5)</f>
        <v>4790.5502478462668</v>
      </c>
      <c r="AQ37" s="36"/>
      <c r="AR37" s="36"/>
      <c r="AS37" s="36">
        <f>+AS8/(1-AS6/AS5)</f>
        <v>798.42504130771124</v>
      </c>
      <c r="AT37" s="36"/>
    </row>
    <row r="38" spans="2:46">
      <c r="Y38" s="13"/>
    </row>
    <row r="39" spans="2:46">
      <c r="Y39" s="13"/>
    </row>
    <row r="40" spans="2:46">
      <c r="Y40" s="13"/>
    </row>
    <row r="41" spans="2:46">
      <c r="Y41" s="13"/>
    </row>
    <row r="42" spans="2:46">
      <c r="Y42" s="13"/>
    </row>
    <row r="43" spans="2:46">
      <c r="Y43" s="13"/>
    </row>
    <row r="44" spans="2:46">
      <c r="Y44" s="13"/>
    </row>
    <row r="45" spans="2:46">
      <c r="Y45" s="13"/>
    </row>
    <row r="46" spans="2:46">
      <c r="Y46" s="13"/>
    </row>
    <row r="47" spans="2:46">
      <c r="Y47" s="13"/>
    </row>
    <row r="48" spans="2:46">
      <c r="Y48" s="13"/>
    </row>
    <row r="49" spans="25:25">
      <c r="Y49" s="13"/>
    </row>
    <row r="50" spans="25:25">
      <c r="Y50" s="13"/>
    </row>
    <row r="51" spans="25:25">
      <c r="Y51" s="13"/>
    </row>
    <row r="52" spans="25:25">
      <c r="Y52" s="13"/>
    </row>
    <row r="53" spans="25:25">
      <c r="Y53" s="13"/>
    </row>
    <row r="54" spans="25:25">
      <c r="Y54" s="13"/>
    </row>
    <row r="55" spans="25:25">
      <c r="Y55" s="13"/>
    </row>
    <row r="56" spans="25:25">
      <c r="Y56" s="13"/>
    </row>
    <row r="57" spans="25:25">
      <c r="Y57" s="13"/>
    </row>
    <row r="58" spans="25:25">
      <c r="Y58" s="13"/>
    </row>
    <row r="59" spans="25:25">
      <c r="Y59" s="13"/>
    </row>
    <row r="60" spans="25:25">
      <c r="Y60" s="13"/>
    </row>
    <row r="61" spans="25:25">
      <c r="Y61" s="13"/>
    </row>
    <row r="62" spans="25:25">
      <c r="Y62" s="13"/>
    </row>
    <row r="63" spans="25:25">
      <c r="Y63" s="13"/>
    </row>
    <row r="64" spans="25:25">
      <c r="Y64" s="13"/>
    </row>
    <row r="65" spans="25:25">
      <c r="Y65" s="13"/>
    </row>
    <row r="66" spans="25:25">
      <c r="Y66" s="13"/>
    </row>
    <row r="67" spans="25:25">
      <c r="Y67" s="13"/>
    </row>
    <row r="68" spans="25:25">
      <c r="Y68" s="13"/>
    </row>
    <row r="69" spans="25:25">
      <c r="Y69" s="13"/>
    </row>
    <row r="70" spans="25:25">
      <c r="Y70" s="13"/>
    </row>
    <row r="71" spans="25:25">
      <c r="Y71" s="13"/>
    </row>
    <row r="72" spans="25:25">
      <c r="Y72" s="13"/>
    </row>
    <row r="73" spans="25:25">
      <c r="Y73" s="13"/>
    </row>
    <row r="74" spans="25:25">
      <c r="Y74" s="13"/>
    </row>
    <row r="75" spans="25:25">
      <c r="Y75" s="13"/>
    </row>
    <row r="76" spans="25:25">
      <c r="Y76" s="13"/>
    </row>
    <row r="77" spans="25:25">
      <c r="Y77" s="13"/>
    </row>
    <row r="78" spans="25:25">
      <c r="Y78" s="13"/>
    </row>
    <row r="79" spans="25:25">
      <c r="Y79" s="13"/>
    </row>
    <row r="80" spans="25:25">
      <c r="Y80" s="13"/>
    </row>
    <row r="81" spans="25:25">
      <c r="Y81" s="13"/>
    </row>
    <row r="82" spans="25:25">
      <c r="Y82" s="13"/>
    </row>
    <row r="83" spans="25:25">
      <c r="Y83" s="13"/>
    </row>
    <row r="84" spans="25:25">
      <c r="Y84" s="13"/>
    </row>
    <row r="85" spans="25:25">
      <c r="Y85" s="13"/>
    </row>
    <row r="86" spans="25:25">
      <c r="Y86" s="13"/>
    </row>
    <row r="87" spans="25:25">
      <c r="Y87" s="13"/>
    </row>
    <row r="88" spans="25:25">
      <c r="Y88" s="13"/>
    </row>
    <row r="89" spans="25:25">
      <c r="Y89" s="13"/>
    </row>
  </sheetData>
  <pageMargins left="0.19685039370078741" right="0.15748031496062992" top="0.47244094488188981" bottom="0.78740157480314965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ZH</cp:lastModifiedBy>
  <cp:lastPrinted>2015-01-28T13:16:01Z</cp:lastPrinted>
  <dcterms:created xsi:type="dcterms:W3CDTF">2014-10-14T11:21:48Z</dcterms:created>
  <dcterms:modified xsi:type="dcterms:W3CDTF">2015-08-03T08:05:14Z</dcterms:modified>
</cp:coreProperties>
</file>