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AB20" i="1"/>
  <c r="AB6"/>
  <c r="AB5"/>
  <c r="AB35" i="7"/>
  <c r="AB33"/>
  <c r="AB32"/>
  <c r="AB34" s="1"/>
  <c r="AD31"/>
  <c r="AD30"/>
  <c r="AB28"/>
  <c r="AD28" s="1"/>
  <c r="AD27"/>
  <c r="AD29" s="1"/>
  <c r="AC20"/>
  <c r="AC24" s="1"/>
  <c r="AB20"/>
  <c r="AB24" s="1"/>
  <c r="AC19"/>
  <c r="AC22" s="1"/>
  <c r="AB19"/>
  <c r="AB22" s="1"/>
  <c r="AD18"/>
  <c r="AB15"/>
  <c r="AD12"/>
  <c r="AD11"/>
  <c r="AD8"/>
  <c r="AC8"/>
  <c r="AC6"/>
  <c r="AB6"/>
  <c r="AD6" s="1"/>
  <c r="AB5"/>
  <c r="AB14" s="1"/>
  <c r="AD5" l="1"/>
  <c r="AB7"/>
  <c r="AB13"/>
  <c r="AD20"/>
  <c r="AC21"/>
  <c r="AC23" s="1"/>
  <c r="AB29"/>
  <c r="AB37"/>
  <c r="AC5"/>
  <c r="AB9"/>
  <c r="AC9" s="1"/>
  <c r="AD19"/>
  <c r="AB21"/>
  <c r="AB23"/>
  <c r="AD9" l="1"/>
  <c r="AD7"/>
  <c r="AB16"/>
  <c r="AC7"/>
  <c r="G31" i="6" l="1"/>
  <c r="G28"/>
  <c r="G30"/>
  <c r="G27"/>
  <c r="I26" l="1"/>
  <c r="D31"/>
  <c r="D30"/>
  <c r="D27"/>
  <c r="D28"/>
  <c r="F26"/>
  <c r="H20"/>
  <c r="H19"/>
  <c r="H18"/>
  <c r="G20"/>
  <c r="G19"/>
  <c r="G18"/>
  <c r="G12"/>
  <c r="G11"/>
  <c r="G8"/>
  <c r="G6"/>
  <c r="G5"/>
  <c r="E20"/>
  <c r="E19"/>
  <c r="E18"/>
  <c r="D20"/>
  <c r="D19"/>
  <c r="D18"/>
  <c r="F4"/>
  <c r="D12"/>
  <c r="D11"/>
  <c r="D8"/>
  <c r="D7"/>
  <c r="D6"/>
  <c r="D5"/>
  <c r="Y20" i="1"/>
  <c r="Y5" i="7"/>
  <c r="Y6"/>
  <c r="Y20"/>
  <c r="Y6" i="1"/>
  <c r="Y5"/>
  <c r="V20"/>
  <c r="V6"/>
  <c r="V5"/>
  <c r="V20" i="7"/>
  <c r="V6" l="1"/>
  <c r="V5"/>
  <c r="S20"/>
  <c r="S20" i="1"/>
  <c r="S6"/>
  <c r="S5"/>
  <c r="S6" i="7"/>
  <c r="S5"/>
  <c r="I4" i="6" l="1"/>
  <c r="P20" i="7"/>
  <c r="P20" i="1"/>
  <c r="P7"/>
  <c r="P6"/>
  <c r="P5"/>
  <c r="P6" i="7" l="1"/>
  <c r="P5"/>
  <c r="M20" i="1"/>
  <c r="M6"/>
  <c r="M5"/>
  <c r="M20" i="7"/>
  <c r="M6"/>
  <c r="M5"/>
  <c r="J20" i="1" l="1"/>
  <c r="J6"/>
  <c r="J5"/>
  <c r="J20" i="7" l="1"/>
  <c r="J6"/>
  <c r="J5"/>
  <c r="AP11"/>
  <c r="AS11" s="1"/>
  <c r="AR4"/>
  <c r="AP11" i="1"/>
  <c r="AS11" s="1"/>
  <c r="E20" i="7"/>
  <c r="E19"/>
  <c r="D19"/>
  <c r="G20" i="1"/>
  <c r="D20"/>
  <c r="G20" i="7"/>
  <c r="G6"/>
  <c r="G5"/>
  <c r="G6" i="1"/>
  <c r="G5"/>
  <c r="D27" i="7"/>
  <c r="D20"/>
  <c r="D6"/>
  <c r="D5"/>
  <c r="D22" i="1"/>
  <c r="G9" i="6" l="1"/>
  <c r="AR26" i="1"/>
  <c r="AR26" i="7"/>
  <c r="AK37"/>
  <c r="AH37"/>
  <c r="AE37"/>
  <c r="Y37"/>
  <c r="V37"/>
  <c r="S37"/>
  <c r="P37"/>
  <c r="M37"/>
  <c r="J37"/>
  <c r="G37"/>
  <c r="D37"/>
  <c r="AK35"/>
  <c r="AH35"/>
  <c r="AE35"/>
  <c r="Y35"/>
  <c r="V35"/>
  <c r="S35"/>
  <c r="P35"/>
  <c r="M35"/>
  <c r="J35"/>
  <c r="G35"/>
  <c r="D35"/>
  <c r="AK33"/>
  <c r="AH33"/>
  <c r="AE33"/>
  <c r="Y33"/>
  <c r="V33"/>
  <c r="S33"/>
  <c r="P33"/>
  <c r="M33"/>
  <c r="J33"/>
  <c r="G33"/>
  <c r="D33"/>
  <c r="AK32"/>
  <c r="AK34" s="1"/>
  <c r="AH32"/>
  <c r="AH34" s="1"/>
  <c r="AE32"/>
  <c r="AE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A31"/>
  <c r="X31"/>
  <c r="U31"/>
  <c r="R31"/>
  <c r="O31"/>
  <c r="L31"/>
  <c r="I31"/>
  <c r="F31"/>
  <c r="AP30"/>
  <c r="D30" i="5" s="1"/>
  <c r="AM30" i="7"/>
  <c r="AJ30"/>
  <c r="AG30"/>
  <c r="AA30"/>
  <c r="X30"/>
  <c r="U30"/>
  <c r="R30"/>
  <c r="O30"/>
  <c r="L30"/>
  <c r="I30"/>
  <c r="F30"/>
  <c r="AK29"/>
  <c r="AH29"/>
  <c r="AE29"/>
  <c r="Y29"/>
  <c r="V29"/>
  <c r="S29"/>
  <c r="P29"/>
  <c r="M29"/>
  <c r="J29"/>
  <c r="G29"/>
  <c r="D29"/>
  <c r="AP28"/>
  <c r="AS28" s="1"/>
  <c r="AM28"/>
  <c r="AJ28"/>
  <c r="AG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A27"/>
  <c r="AA29" s="1"/>
  <c r="X27"/>
  <c r="U27"/>
  <c r="U29" s="1"/>
  <c r="R27"/>
  <c r="O27"/>
  <c r="O29" s="1"/>
  <c r="L27"/>
  <c r="I27"/>
  <c r="I29" s="1"/>
  <c r="F27"/>
  <c r="AU26"/>
  <c r="AK24"/>
  <c r="AI24"/>
  <c r="AH24"/>
  <c r="AF24"/>
  <c r="AE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A20"/>
  <c r="X20"/>
  <c r="U20"/>
  <c r="R20"/>
  <c r="O20"/>
  <c r="L20"/>
  <c r="I20"/>
  <c r="F20"/>
  <c r="AQ19"/>
  <c r="AT19" s="1"/>
  <c r="AP19"/>
  <c r="D19" i="5" s="1"/>
  <c r="AM19" i="7"/>
  <c r="AJ19"/>
  <c r="AG19"/>
  <c r="AA19"/>
  <c r="X19"/>
  <c r="U19"/>
  <c r="R19"/>
  <c r="O19"/>
  <c r="L19"/>
  <c r="I19"/>
  <c r="F19"/>
  <c r="AQ18"/>
  <c r="AT18" s="1"/>
  <c r="AP18"/>
  <c r="D18" i="5" s="1"/>
  <c r="AM18" i="7"/>
  <c r="AJ18"/>
  <c r="AG18"/>
  <c r="AA18"/>
  <c r="X18"/>
  <c r="U18"/>
  <c r="R18"/>
  <c r="O18"/>
  <c r="L18"/>
  <c r="I18"/>
  <c r="F18"/>
  <c r="AK15"/>
  <c r="AH15"/>
  <c r="AE15"/>
  <c r="Y15"/>
  <c r="V15"/>
  <c r="S15"/>
  <c r="P15"/>
  <c r="M15"/>
  <c r="J15"/>
  <c r="G15"/>
  <c r="D15"/>
  <c r="AK14"/>
  <c r="AH14"/>
  <c r="AE14"/>
  <c r="Y14"/>
  <c r="V14"/>
  <c r="S14"/>
  <c r="P14"/>
  <c r="M14"/>
  <c r="J14"/>
  <c r="G14"/>
  <c r="D14"/>
  <c r="AK13"/>
  <c r="AH13"/>
  <c r="AE13"/>
  <c r="Y13"/>
  <c r="V13"/>
  <c r="S13"/>
  <c r="P13"/>
  <c r="M13"/>
  <c r="J13"/>
  <c r="G13"/>
  <c r="D13"/>
  <c r="AP12"/>
  <c r="D12" i="5" s="1"/>
  <c r="AM12" i="7"/>
  <c r="AJ12"/>
  <c r="AG12"/>
  <c r="AA12"/>
  <c r="X12"/>
  <c r="U12"/>
  <c r="R12"/>
  <c r="O12"/>
  <c r="L12"/>
  <c r="I12"/>
  <c r="F12"/>
  <c r="AM11"/>
  <c r="AJ11"/>
  <c r="AG11"/>
  <c r="AA11"/>
  <c r="X11"/>
  <c r="U11"/>
  <c r="R11"/>
  <c r="O11"/>
  <c r="L11"/>
  <c r="I11"/>
  <c r="F11"/>
  <c r="AK9"/>
  <c r="AL9" s="1"/>
  <c r="AH9"/>
  <c r="AI9" s="1"/>
  <c r="AE9"/>
  <c r="AF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Y7"/>
  <c r="V7"/>
  <c r="S7"/>
  <c r="P7"/>
  <c r="M7"/>
  <c r="J7"/>
  <c r="G7"/>
  <c r="G16" s="1"/>
  <c r="D7"/>
  <c r="D16" s="1"/>
  <c r="AP6"/>
  <c r="D6" i="5" s="1"/>
  <c r="AM6" i="7"/>
  <c r="AL6"/>
  <c r="AJ6"/>
  <c r="AI6"/>
  <c r="AG6"/>
  <c r="AF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A5"/>
  <c r="AA9" s="1"/>
  <c r="Z5"/>
  <c r="X5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U4"/>
  <c r="AP31" i="1"/>
  <c r="AP30"/>
  <c r="AP28"/>
  <c r="AP27"/>
  <c r="I27"/>
  <c r="F27"/>
  <c r="F28"/>
  <c r="AQ20"/>
  <c r="AQ19"/>
  <c r="AQ18"/>
  <c r="AP20"/>
  <c r="AP19"/>
  <c r="AP18"/>
  <c r="AR4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Y16" i="7" l="1"/>
  <c r="X29"/>
  <c r="V16"/>
  <c r="X9"/>
  <c r="S16"/>
  <c r="R29"/>
  <c r="P16"/>
  <c r="M16"/>
  <c r="L29"/>
  <c r="J16"/>
  <c r="K7"/>
  <c r="E19" i="5"/>
  <c r="E18"/>
  <c r="AP22" i="7"/>
  <c r="AP24"/>
  <c r="AP35"/>
  <c r="AP33"/>
  <c r="D20" i="5"/>
  <c r="F9" i="7"/>
  <c r="AP37"/>
  <c r="D5" i="5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D13"/>
  <c r="F20"/>
  <c r="E21"/>
  <c r="E23" s="1"/>
  <c r="D29"/>
  <c r="D37"/>
  <c r="E5"/>
  <c r="E8"/>
  <c r="D9"/>
  <c r="F19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M13"/>
  <c r="O20"/>
  <c r="N21"/>
  <c r="N23" s="1"/>
  <c r="M29"/>
  <c r="M37"/>
  <c r="N5"/>
  <c r="N8"/>
  <c r="M9"/>
  <c r="N9" s="1"/>
  <c r="O19"/>
  <c r="M21"/>
  <c r="M23" s="1"/>
  <c r="R5"/>
  <c r="Q6"/>
  <c r="P13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T21"/>
  <c r="T23" s="1"/>
  <c r="V9"/>
  <c r="W9" s="1"/>
  <c r="V24"/>
  <c r="W6"/>
  <c r="V7"/>
  <c r="V21"/>
  <c r="V23" s="1"/>
  <c r="Y7"/>
  <c r="Y13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L19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B14"/>
  <c r="AB21"/>
  <c r="AB23" s="1"/>
  <c r="AB9"/>
  <c r="J28" i="6"/>
  <c r="J31"/>
  <c r="J30"/>
  <c r="J27"/>
  <c r="K27"/>
  <c r="K28"/>
  <c r="G29"/>
  <c r="K30"/>
  <c r="K31"/>
  <c r="G32"/>
  <c r="G34" s="1"/>
  <c r="G33"/>
  <c r="D32"/>
  <c r="D34" s="1"/>
  <c r="AA28" i="1"/>
  <c r="AA29" s="1"/>
  <c r="AR6"/>
  <c r="G11" i="5"/>
  <c r="I11" s="1"/>
  <c r="L11" s="1"/>
  <c r="H18"/>
  <c r="AR8" i="1"/>
  <c r="W21"/>
  <c r="W23" s="1"/>
  <c r="AP7" l="1"/>
  <c r="G7" i="6"/>
  <c r="AC9" i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3" s="1"/>
  <c r="AS24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<sst xmlns="http://schemas.openxmlformats.org/spreadsheetml/2006/main" count="358" uniqueCount="75">
  <si>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</si>
  <si>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</si>
  <si>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</si>
  <si>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</si>
  <si>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</si>
  <si>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</si>
  <si>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</si>
  <si>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</si>
  <si>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</si>
  <si>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</si>
  <si>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</si>
  <si>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</si>
  <si>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</si>
  <si>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</si>
  <si>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</si>
  <si>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</si>
  <si>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</si>
  <si>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</si>
  <si>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</si>
  <si>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</si>
  <si>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</si>
  <si>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</si>
  <si>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</si>
  <si>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</si>
  <si>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</si>
  <si>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</si>
  <si>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</si>
  <si>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</si>
  <si>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</si>
  <si>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</si>
  <si>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</si>
  <si>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</si>
  <si>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</si>
  <si>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</si>
  <si>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</si>
  <si>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</si>
  <si>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</si>
  <si>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</si>
  <si>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</si>
  <si>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</si>
  <si>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</si>
  <si>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</si>
  <si>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</si>
  <si>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</si>
  <si>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</si>
  <si>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</si>
  <si>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</si>
  <si>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</si>
  <si>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</si>
  <si>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</si>
  <si>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</si>
  <si>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</si>
  <si>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</si>
  <si>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</si>
  <si>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</si>
  <si>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</si>
  <si>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</si>
  <si>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</si>
  <si>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</si>
  <si>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</si>
  <si>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</si>
  <si>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</si>
  <si>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</si>
  <si>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</si>
  <si>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</si>
  <si>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</si>
  <si>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</si>
  <si>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</si>
  <si>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</si>
  <si>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</si>
  <si>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</si>
  <si>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</si>
  <si>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</si>
  <si>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1 - 9 2014</t>
  </si>
  <si>
    <t xml:space="preserve"> 1 - 9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</si>
</sst>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4" sqref="G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73</v>
      </c>
      <c r="E3" s="26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+'2014'!AR4</f>
        <v>14</v>
      </c>
      <c r="G4" s="25" t="s">
        <v>20</v>
      </c>
      <c r="H4" s="3" t="s">
        <v>21</v>
      </c>
      <c r="I4" s="3">
        <f>+'2015'!AR4</f>
        <v>15</v>
      </c>
      <c r="J4" s="30"/>
    </row>
    <row r="5" spans="2:21">
      <c r="B5" s="10" t="s">
        <v>3</v>
      </c>
      <c r="C5" s="19"/>
      <c r="D5" s="8">
        <f>+'2014'!AP5</f>
        <v>7113.7930399999996</v>
      </c>
      <c r="E5" s="15">
        <f>+D5/$D$5</f>
        <v>1</v>
      </c>
      <c r="F5" s="93">
        <f>+D5/F4</f>
        <v>508.12807428571426</v>
      </c>
      <c r="G5" s="14">
        <f>+'2015'!AP5</f>
        <v>7145.4786599999998</v>
      </c>
      <c r="H5" s="15">
        <f>+G5/$G$5</f>
        <v>1</v>
      </c>
      <c r="I5" s="93">
        <f>+G5/I4</f>
        <v>476.36524399999996</v>
      </c>
      <c r="J5" s="83">
        <f t="shared" ref="J5:J29" si="0">+G5/D5</f>
        <v>1.0044541104614424</v>
      </c>
      <c r="K5" s="84">
        <f>+G5-D5</f>
        <v>31.685620000000199</v>
      </c>
      <c r="L5" s="84">
        <f>+I5-F5</f>
        <v>-31.762830285714301</v>
      </c>
      <c r="M5" s="19"/>
    </row>
    <row r="6" spans="2:21">
      <c r="B6" s="7" t="s">
        <v>4</v>
      </c>
      <c r="C6" s="19"/>
      <c r="D6" s="11">
        <f>+'2014'!AP6</f>
        <v>964.64242999999988</v>
      </c>
      <c r="E6" s="12">
        <f>+D6/$D$5</f>
        <v>0.13560170004608399</v>
      </c>
      <c r="F6" s="80">
        <f>+D6/F4</f>
        <v>68.903030714285705</v>
      </c>
      <c r="G6" s="16">
        <f>+'2015'!AP6</f>
        <v>1022.8541299999999</v>
      </c>
      <c r="H6" s="12">
        <f>+G6/$G$5</f>
        <v>0.14314704146076057</v>
      </c>
      <c r="I6" s="80">
        <f>+G6/I4</f>
        <v>68.190275333333332</v>
      </c>
      <c r="J6" s="85">
        <f t="shared" si="0"/>
        <v>1.0603453654842863</v>
      </c>
      <c r="K6" s="86">
        <f>+G6-D6</f>
        <v>58.211700000000064</v>
      </c>
      <c r="L6" s="86">
        <f>+I6-F6</f>
        <v>-0.71275538095237323</v>
      </c>
      <c r="M6" s="19"/>
    </row>
    <row r="7" spans="2:21">
      <c r="B7" s="10" t="s">
        <v>6</v>
      </c>
      <c r="C7" s="19"/>
      <c r="D7" s="8">
        <f>+D5-D6</f>
        <v>6149.1506099999997</v>
      </c>
      <c r="E7" s="17">
        <f>+D7/$D$5</f>
        <v>0.86439829995391604</v>
      </c>
      <c r="F7" s="82">
        <f>+F5-F6</f>
        <v>439.22504357142856</v>
      </c>
      <c r="G7" s="8">
        <f>+G5-G6</f>
        <v>6122.62453</v>
      </c>
      <c r="H7" s="17">
        <f>+G7/$G$5</f>
        <v>0.85685295853923948</v>
      </c>
      <c r="I7" s="82">
        <f>+I5-I6</f>
        <v>408.17496866666664</v>
      </c>
      <c r="J7" s="87">
        <f t="shared" si="0"/>
        <v>0.99568622047460309</v>
      </c>
      <c r="K7" s="84">
        <f>+G7-D7</f>
        <v>-26.526079999999638</v>
      </c>
      <c r="L7" s="84">
        <f>+I7-F7</f>
        <v>-31.050074904761914</v>
      </c>
      <c r="M7" s="19"/>
    </row>
    <row r="8" spans="2:21">
      <c r="B8" s="7" t="s">
        <v>5</v>
      </c>
      <c r="C8" s="19"/>
      <c r="D8" s="11">
        <f>+'2014'!AP8</f>
        <v>6146.285679999999</v>
      </c>
      <c r="E8" s="12">
        <f>+D8/$D$5</f>
        <v>0.86399557106035785</v>
      </c>
      <c r="F8" s="80">
        <f>+D8/F4</f>
        <v>439.02040571428563</v>
      </c>
      <c r="G8" s="16">
        <f>+'2015'!AP8</f>
        <v>6326.4880000000003</v>
      </c>
      <c r="H8" s="12">
        <f>+G8/$G$5</f>
        <v>0.88538337332323658</v>
      </c>
      <c r="I8" s="80">
        <f>+G8/I4</f>
        <v>421.76586666666668</v>
      </c>
      <c r="J8" s="85">
        <f t="shared" si="0"/>
        <v>1.0293188975231624</v>
      </c>
      <c r="K8" s="86">
        <f>+G8-D8</f>
        <v>180.20232000000124</v>
      </c>
      <c r="L8" s="86">
        <f>+I8-F8</f>
        <v>-17.254539047618948</v>
      </c>
      <c r="M8" s="19"/>
    </row>
    <row r="9" spans="2:21">
      <c r="B9" s="21" t="s">
        <v>12</v>
      </c>
      <c r="C9" s="19"/>
      <c r="D9" s="18">
        <f>+D5-D6-D8</f>
        <v>2.8649300000006406</v>
      </c>
      <c r="E9" s="15">
        <f>+D9/$D$5</f>
        <v>4.02728893558118E-4</v>
      </c>
      <c r="F9" s="18">
        <f>+F5-F6-F8</f>
        <v>0.20463785714292726</v>
      </c>
      <c r="G9" s="18">
        <f>+G5-G6-G8</f>
        <v>-203.86347000000023</v>
      </c>
      <c r="H9" s="15">
        <f>+G9/$G$5</f>
        <v>-2.8530414783997163E-2</v>
      </c>
      <c r="I9" s="18">
        <f>+I5-I6-I8</f>
        <v>-13.590898000000038</v>
      </c>
      <c r="J9" s="87">
        <f t="shared" si="0"/>
        <v>-71.158272627936682</v>
      </c>
      <c r="K9" s="84">
        <f>+G9-D9</f>
        <v>-206.72840000000087</v>
      </c>
      <c r="L9" s="84">
        <f>+I9-F9</f>
        <v>-13.795535857142966</v>
      </c>
      <c r="M9" s="19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19"/>
    </row>
    <row r="11" spans="2:21">
      <c r="B11" s="20" t="s">
        <v>15</v>
      </c>
      <c r="C11" s="19"/>
      <c r="D11" s="37">
        <f>+'2014'!AP11</f>
        <v>153</v>
      </c>
      <c r="E11" s="19"/>
      <c r="F11" s="80">
        <f>+D11/F4</f>
        <v>10.928571428571429</v>
      </c>
      <c r="G11" s="33">
        <f>+'2015'!AP11</f>
        <v>156</v>
      </c>
      <c r="H11" s="19"/>
      <c r="I11" s="80">
        <f>+G11/I4</f>
        <v>10.4</v>
      </c>
      <c r="J11" s="85">
        <f t="shared" si="0"/>
        <v>1.0196078431372548</v>
      </c>
      <c r="K11" s="86">
        <f t="shared" ref="K11:K16" si="1">+G11-D11</f>
        <v>3</v>
      </c>
      <c r="L11" s="86">
        <f>+I11-F11</f>
        <v>-0.52857142857142847</v>
      </c>
      <c r="M11" s="19"/>
    </row>
    <row r="12" spans="2:21">
      <c r="B12" s="20" t="s">
        <v>13</v>
      </c>
      <c r="C12" s="19"/>
      <c r="D12" s="37">
        <f>+'2014'!AP12</f>
        <v>4516.7892400000001</v>
      </c>
      <c r="E12" s="19"/>
      <c r="F12" s="80">
        <f>+D12/F4</f>
        <v>322.62780285714285</v>
      </c>
      <c r="G12" s="16">
        <f>+'2015'!AP12</f>
        <v>4685.0065400000003</v>
      </c>
      <c r="H12" s="19"/>
      <c r="I12" s="80">
        <f>+G12/I4</f>
        <v>312.33376933333335</v>
      </c>
      <c r="J12" s="85">
        <f t="shared" si="0"/>
        <v>1.0372426719649199</v>
      </c>
      <c r="K12" s="86">
        <f t="shared" si="1"/>
        <v>168.21730000000025</v>
      </c>
      <c r="L12" s="86">
        <f>+I12-F12</f>
        <v>-10.294033523809503</v>
      </c>
      <c r="M12" s="19"/>
    </row>
    <row r="13" spans="2:21">
      <c r="B13" s="21" t="s">
        <v>16</v>
      </c>
      <c r="C13" s="19"/>
      <c r="D13" s="38">
        <f>+D12/D5</f>
        <v>0.63493402388889297</v>
      </c>
      <c r="E13" s="19"/>
      <c r="F13" s="38"/>
      <c r="G13" s="38">
        <f>+G12/G5</f>
        <v>0.65566028014699862</v>
      </c>
      <c r="H13" s="19"/>
      <c r="I13" s="38"/>
      <c r="J13" s="83">
        <f t="shared" si="0"/>
        <v>1.0326431652396888</v>
      </c>
      <c r="K13" s="61">
        <f t="shared" si="1"/>
        <v>2.0726256258105646E-2</v>
      </c>
      <c r="L13" s="64"/>
      <c r="M13" s="19"/>
    </row>
    <row r="14" spans="2:21">
      <c r="B14" s="21" t="s">
        <v>14</v>
      </c>
      <c r="C14" s="19"/>
      <c r="D14" s="8">
        <f>+D5/D11</f>
        <v>46.495379346405223</v>
      </c>
      <c r="E14" s="19"/>
      <c r="F14" s="8"/>
      <c r="G14" s="8">
        <f>+G5/G11</f>
        <v>45.804350384615383</v>
      </c>
      <c r="H14" s="19"/>
      <c r="I14" s="8"/>
      <c r="J14" s="83">
        <f t="shared" si="0"/>
        <v>0.98513768526026091</v>
      </c>
      <c r="K14" s="84">
        <f t="shared" si="1"/>
        <v>-0.69102896178983997</v>
      </c>
      <c r="L14" s="64"/>
      <c r="M14" s="19"/>
    </row>
    <row r="15" spans="2:21">
      <c r="B15" s="10" t="s">
        <v>41</v>
      </c>
      <c r="C15" s="19"/>
      <c r="D15" s="8">
        <f>+D12/D11</f>
        <v>29.521498300653594</v>
      </c>
      <c r="E15" s="19"/>
      <c r="F15" s="8"/>
      <c r="G15" s="8">
        <f>+G12/G11</f>
        <v>30.032093205128206</v>
      </c>
      <c r="H15" s="19"/>
      <c r="I15" s="8"/>
      <c r="J15" s="83">
        <f t="shared" si="0"/>
        <v>1.0172956975040561</v>
      </c>
      <c r="K15" s="84">
        <f t="shared" si="1"/>
        <v>0.51059490447461187</v>
      </c>
      <c r="L15" s="64"/>
      <c r="M15" s="19"/>
    </row>
    <row r="16" spans="2:21">
      <c r="B16" s="21" t="s">
        <v>17</v>
      </c>
      <c r="C16" s="19"/>
      <c r="D16" s="38">
        <f>+D12/D7</f>
        <v>0.73453872355225991</v>
      </c>
      <c r="E16" s="19"/>
      <c r="F16" s="38"/>
      <c r="G16" s="38">
        <f>+G12/G7</f>
        <v>0.7651957942291131</v>
      </c>
      <c r="H16" s="19"/>
      <c r="I16" s="38"/>
      <c r="J16" s="83">
        <f t="shared" si="0"/>
        <v>1.0417364935215319</v>
      </c>
      <c r="K16" s="61">
        <f t="shared" si="1"/>
        <v>3.0657070676853193E-2</v>
      </c>
      <c r="L16" s="64"/>
      <c r="M16" s="19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19"/>
    </row>
    <row r="18" spans="2:13">
      <c r="B18" s="20" t="s">
        <v>27</v>
      </c>
      <c r="C18" s="19"/>
      <c r="D18" s="11">
        <f>+'2014'!AP18</f>
        <v>102266</v>
      </c>
      <c r="E18" s="11">
        <f>+'2014'!AQ18</f>
        <v>102266</v>
      </c>
      <c r="F18" s="80">
        <f>+D18/F4</f>
        <v>7304.7142857142853</v>
      </c>
      <c r="G18" s="16">
        <f>+'2015'!AP18</f>
        <v>101711.11</v>
      </c>
      <c r="H18" s="16">
        <f>+'2015'!AQ18</f>
        <v>90121.041670000006</v>
      </c>
      <c r="I18" s="80">
        <f>+G18/I4</f>
        <v>6780.7406666666666</v>
      </c>
      <c r="J18" s="85">
        <f t="shared" si="0"/>
        <v>0.99457405198208593</v>
      </c>
      <c r="K18" s="86">
        <f t="shared" ref="K18:K29" si="2">+G18-D18</f>
        <v>-554.88999999999942</v>
      </c>
      <c r="L18" s="86">
        <f>+I18-F18</f>
        <v>-523.97361904761874</v>
      </c>
      <c r="M18" s="19"/>
    </row>
    <row r="19" spans="2:13">
      <c r="B19" s="20" t="s">
        <v>28</v>
      </c>
      <c r="C19" s="19"/>
      <c r="D19" s="11">
        <f>+'2014'!AP19</f>
        <v>14092.66</v>
      </c>
      <c r="E19" s="27">
        <f>+'2014'!AQ19</f>
        <v>14092.66</v>
      </c>
      <c r="F19" s="80">
        <f>+D19/F4</f>
        <v>1006.6185714285714</v>
      </c>
      <c r="G19" s="16">
        <f>+'2015'!AP19</f>
        <v>13820.439999999999</v>
      </c>
      <c r="H19" s="16">
        <f>+'2015'!AQ19</f>
        <v>13820.439999999999</v>
      </c>
      <c r="I19" s="80">
        <f>+G19/I4</f>
        <v>921.36266666666654</v>
      </c>
      <c r="J19" s="85">
        <f t="shared" si="0"/>
        <v>0.98068356151358216</v>
      </c>
      <c r="K19" s="86">
        <f t="shared" si="2"/>
        <v>-272.22000000000116</v>
      </c>
      <c r="L19" s="86">
        <f>+I19-F19</f>
        <v>-85.255904761904844</v>
      </c>
      <c r="M19" s="19"/>
    </row>
    <row r="20" spans="2:13">
      <c r="B20" s="20" t="s">
        <v>29</v>
      </c>
      <c r="C20" s="19"/>
      <c r="D20" s="11">
        <f>+'2014'!AP20</f>
        <v>504.94680999999997</v>
      </c>
      <c r="E20" s="27">
        <f>+'2014'!AQ20</f>
        <v>512.20225999999991</v>
      </c>
      <c r="F20" s="80">
        <f>+D20/F4</f>
        <v>36.067629285714283</v>
      </c>
      <c r="G20" s="16">
        <f>+'2015'!AP20</f>
        <v>418.29899999999998</v>
      </c>
      <c r="H20" s="16">
        <f>+'2015'!AQ20</f>
        <v>419.66026699999998</v>
      </c>
      <c r="I20" s="80">
        <f>+G20/I4</f>
        <v>27.886599999999998</v>
      </c>
      <c r="J20" s="85">
        <f t="shared" si="0"/>
        <v>0.82840210437214168</v>
      </c>
      <c r="K20" s="86">
        <f t="shared" si="2"/>
        <v>-86.647809999999993</v>
      </c>
      <c r="L20" s="86">
        <f>+I20-F20</f>
        <v>-8.1810292857142848</v>
      </c>
      <c r="M20" s="19"/>
    </row>
    <row r="21" spans="2:13">
      <c r="B21" s="21" t="s">
        <v>30</v>
      </c>
      <c r="C21" s="19"/>
      <c r="D21" s="50">
        <f>+D20/D19*1000</f>
        <v>35.830482676797708</v>
      </c>
      <c r="E21" s="28">
        <f>+E20/E19*1000</f>
        <v>36.345321607134487</v>
      </c>
      <c r="F21" s="28"/>
      <c r="G21" s="50">
        <f>+G20/G19*1000</f>
        <v>30.266691943237699</v>
      </c>
      <c r="H21" s="50">
        <f>+H20/H19*1000</f>
        <v>30.365188590233021</v>
      </c>
      <c r="I21" s="28"/>
      <c r="J21" s="83">
        <f t="shared" si="0"/>
        <v>0.84471906829313015</v>
      </c>
      <c r="K21" s="84">
        <f t="shared" si="2"/>
        <v>-5.5637907335600083</v>
      </c>
      <c r="L21" s="89">
        <f>+H21/E21</f>
        <v>0.83546347225807516</v>
      </c>
      <c r="M21" s="90">
        <f>+H21-E21</f>
        <v>-5.9801330169014655</v>
      </c>
    </row>
    <row r="22" spans="2:13">
      <c r="B22" s="21" t="s">
        <v>31</v>
      </c>
      <c r="C22" s="19"/>
      <c r="D22" s="52">
        <f>+D19/D18</f>
        <v>0.13780396221618132</v>
      </c>
      <c r="E22" s="52">
        <f>+E19/E18</f>
        <v>0.13780396221618132</v>
      </c>
      <c r="F22" s="52"/>
      <c r="G22" s="60">
        <f>+G19/G18</f>
        <v>0.13587935477255139</v>
      </c>
      <c r="H22" s="52">
        <f>+H19/H18</f>
        <v>0.15335419724293559</v>
      </c>
      <c r="I22" s="52"/>
      <c r="J22" s="83">
        <f t="shared" si="0"/>
        <v>0.98603372927252497</v>
      </c>
      <c r="K22" s="84">
        <f t="shared" si="2"/>
        <v>-1.9246074436299332E-3</v>
      </c>
      <c r="L22" s="19"/>
      <c r="M22" s="19"/>
    </row>
    <row r="23" spans="2:13">
      <c r="B23" s="10" t="s">
        <v>26</v>
      </c>
      <c r="C23" s="10"/>
      <c r="D23" s="54">
        <f>+D20*1000/(D18*D21)*100</f>
        <v>13.780396221618133</v>
      </c>
      <c r="E23" s="54">
        <f>+E20*1000/(E18*E21)*100</f>
        <v>13.780396221618133</v>
      </c>
      <c r="F23" s="54"/>
      <c r="G23" s="54">
        <f>+G20/(G18*G21)*1000*100</f>
        <v>13.587935477255137</v>
      </c>
      <c r="H23" s="54">
        <f>+H20*1000/(H18*H21)*100</f>
        <v>15.335419724293558</v>
      </c>
      <c r="I23" s="54"/>
      <c r="J23" s="83">
        <f t="shared" si="0"/>
        <v>0.98603372927252464</v>
      </c>
      <c r="K23" s="84">
        <f t="shared" si="2"/>
        <v>-0.19246074436299665</v>
      </c>
      <c r="L23" s="19"/>
      <c r="M23" s="19"/>
    </row>
    <row r="24" spans="2:13">
      <c r="B24" s="21" t="s">
        <v>44</v>
      </c>
      <c r="C24" s="10"/>
      <c r="D24" s="54">
        <f>+D20/D18*1000</f>
        <v>4.9375824809809705</v>
      </c>
      <c r="E24" s="54">
        <f>+E20/E18*1000</f>
        <v>5.0085293254845196</v>
      </c>
      <c r="F24" s="54"/>
      <c r="G24" s="54">
        <f>+G20/G18*1000</f>
        <v>4.1126185723467179</v>
      </c>
      <c r="H24" s="54">
        <f>+H20/H18*1000</f>
        <v>4.6566291203855323</v>
      </c>
      <c r="I24" s="54"/>
      <c r="J24" s="83"/>
      <c r="K24" s="84"/>
      <c r="L24" s="19"/>
      <c r="M24" s="19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19"/>
      <c r="M25" s="19"/>
    </row>
    <row r="26" spans="2:13" ht="15" customHeight="1">
      <c r="B26" s="20" t="s">
        <v>46</v>
      </c>
      <c r="C26" s="10"/>
      <c r="D26" s="54"/>
      <c r="E26" s="54"/>
      <c r="F26" s="97">
        <f>+'2014'!AR26</f>
        <v>7.1111111111111107</v>
      </c>
      <c r="G26" s="54"/>
      <c r="H26" s="54"/>
      <c r="I26" s="97">
        <f>+'2015'!AR26</f>
        <v>6.5555555555555554</v>
      </c>
      <c r="J26" s="83"/>
      <c r="K26" s="84"/>
      <c r="L26" s="19"/>
      <c r="M26" s="19"/>
    </row>
    <row r="27" spans="2:13">
      <c r="B27" s="20" t="s">
        <v>36</v>
      </c>
      <c r="C27" s="10"/>
      <c r="D27" s="11">
        <f>+'2014'!AP27</f>
        <v>56.36</v>
      </c>
      <c r="E27" s="54"/>
      <c r="F27" s="11">
        <f>+D27/F26</f>
        <v>7.9256250000000001</v>
      </c>
      <c r="G27" s="11">
        <f>+'2015'!AP27</f>
        <v>62.5</v>
      </c>
      <c r="H27" s="54"/>
      <c r="I27" s="11">
        <f>+G27/I26</f>
        <v>9.5338983050847457</v>
      </c>
      <c r="J27" s="85">
        <f t="shared" si="0"/>
        <v>1.1089425124201562</v>
      </c>
      <c r="K27" s="86">
        <f t="shared" si="2"/>
        <v>6.1400000000000006</v>
      </c>
      <c r="L27" s="86">
        <f>+I27-F27</f>
        <v>1.6082733050847455</v>
      </c>
      <c r="M27" s="19"/>
    </row>
    <row r="28" spans="2:13">
      <c r="B28" s="20" t="s">
        <v>39</v>
      </c>
      <c r="C28" s="10"/>
      <c r="D28" s="11">
        <f>+'2014'!AP28</f>
        <v>6112</v>
      </c>
      <c r="E28" s="54"/>
      <c r="F28" s="11">
        <f>+D28/F26</f>
        <v>859.5</v>
      </c>
      <c r="G28" s="11">
        <f>+'2015'!AP28</f>
        <v>5224</v>
      </c>
      <c r="H28" s="54"/>
      <c r="I28" s="11">
        <f>+G28/I26</f>
        <v>796.88135593220341</v>
      </c>
      <c r="J28" s="85">
        <f t="shared" si="0"/>
        <v>0.85471204188481675</v>
      </c>
      <c r="K28" s="86">
        <f t="shared" si="2"/>
        <v>-888</v>
      </c>
      <c r="L28" s="86">
        <f>+I28-F28</f>
        <v>-62.618644067796595</v>
      </c>
      <c r="M28" s="19"/>
    </row>
    <row r="29" spans="2:13">
      <c r="B29" s="21" t="s">
        <v>40</v>
      </c>
      <c r="C29" s="10"/>
      <c r="D29" s="38">
        <f>+D27/D28</f>
        <v>9.2212041884816749E-3</v>
      </c>
      <c r="E29" s="54"/>
      <c r="F29" s="38">
        <f>+F27/F28</f>
        <v>9.2212041884816749E-3</v>
      </c>
      <c r="G29" s="38">
        <f>+G27/G28</f>
        <v>1.1964012251148546E-2</v>
      </c>
      <c r="H29" s="54"/>
      <c r="I29" s="38">
        <f>+I27/I28</f>
        <v>1.1964012251148544E-2</v>
      </c>
      <c r="J29" s="83">
        <f t="shared" si="0"/>
        <v>1.2974457572572733</v>
      </c>
      <c r="K29" s="84">
        <f t="shared" si="2"/>
        <v>2.742808062666871E-3</v>
      </c>
      <c r="L29" s="86">
        <f>+I29-F29</f>
        <v>2.7428080626668693E-3</v>
      </c>
      <c r="M29" s="19"/>
    </row>
    <row r="30" spans="2:13">
      <c r="B30" s="20" t="s">
        <v>32</v>
      </c>
      <c r="C30" s="10"/>
      <c r="D30" s="11">
        <f>+'2014'!AP30</f>
        <v>275.19720000000001</v>
      </c>
      <c r="E30" s="54"/>
      <c r="F30" s="11">
        <f>+D30/F26</f>
        <v>38.699606250000002</v>
      </c>
      <c r="G30" s="11">
        <f>+'2015'!AP30</f>
        <v>315.32</v>
      </c>
      <c r="H30" s="54"/>
      <c r="I30" s="11">
        <f>+G30/I26</f>
        <v>48.099661016949156</v>
      </c>
      <c r="J30" s="85">
        <f t="shared" ref="J30" si="3">+G30/D30</f>
        <v>1.1457965415345794</v>
      </c>
      <c r="K30" s="86">
        <f t="shared" ref="K30" si="4">+G30-D30</f>
        <v>40.122799999999984</v>
      </c>
      <c r="L30" s="86">
        <f>+I30-F30</f>
        <v>9.4000547669491539</v>
      </c>
      <c r="M30" s="19"/>
    </row>
    <row r="31" spans="2:13">
      <c r="B31" s="20" t="s">
        <v>33</v>
      </c>
      <c r="C31" s="10"/>
      <c r="D31" s="11">
        <f>+'2014'!AP31</f>
        <v>21.0244</v>
      </c>
      <c r="E31" s="54"/>
      <c r="F31" s="11">
        <f>+D31/F26</f>
        <v>2.9565562500000002</v>
      </c>
      <c r="G31" s="11">
        <f>+'2015'!AP31</f>
        <v>9.6582100000000004</v>
      </c>
      <c r="H31" s="54"/>
      <c r="I31" s="11">
        <f>+G31/I26</f>
        <v>1.4732862711864407</v>
      </c>
      <c r="J31" s="85">
        <f t="shared" ref="J31:J32" si="5">+G31/D31</f>
        <v>0.45938100492760792</v>
      </c>
      <c r="K31" s="86">
        <f t="shared" ref="K31:K32" si="6">+G31-D31</f>
        <v>-11.36619</v>
      </c>
      <c r="L31" s="86">
        <f>+I31-F31</f>
        <v>-1.4832699788135595</v>
      </c>
      <c r="M31" s="19"/>
    </row>
    <row r="32" spans="2:13">
      <c r="B32" s="21" t="s">
        <v>34</v>
      </c>
      <c r="C32" s="10"/>
      <c r="D32" s="50">
        <f>+D31/D30*1000</f>
        <v>76.397579626536896</v>
      </c>
      <c r="E32" s="54"/>
      <c r="F32" s="54"/>
      <c r="G32" s="50">
        <f>+G31/G30*1000</f>
        <v>30.629868070531526</v>
      </c>
      <c r="H32" s="54"/>
      <c r="I32" s="54"/>
      <c r="J32" s="83">
        <f t="shared" si="5"/>
        <v>0.40092720502747659</v>
      </c>
      <c r="K32" s="84">
        <f t="shared" si="6"/>
        <v>-45.767711556005366</v>
      </c>
      <c r="L32" s="19"/>
      <c r="M32" s="19"/>
    </row>
    <row r="33" spans="2:13">
      <c r="B33" s="21" t="s">
        <v>35</v>
      </c>
      <c r="C33" s="10"/>
      <c r="D33" s="52">
        <f>+D30/D27</f>
        <v>4.882845990063875</v>
      </c>
      <c r="E33" s="54"/>
      <c r="F33" s="54"/>
      <c r="G33" s="52">
        <f>+G30/G27</f>
        <v>5.0451199999999998</v>
      </c>
      <c r="H33" s="54"/>
      <c r="I33" s="54"/>
      <c r="J33" s="83">
        <f t="shared" ref="J33" si="7">+G33/D33</f>
        <v>1.0332334892942225</v>
      </c>
      <c r="K33" s="84">
        <f t="shared" ref="K33" si="8">+G33-D33</f>
        <v>0.16227400993612484</v>
      </c>
      <c r="L33" s="19"/>
      <c r="M33" s="19"/>
    </row>
    <row r="34" spans="2:13" ht="15" customHeight="1">
      <c r="B34" s="10" t="s">
        <v>37</v>
      </c>
      <c r="D34" s="54">
        <f>+D31*1000/(D27*D32)*100</f>
        <v>488.28459900638757</v>
      </c>
      <c r="G34" s="54">
        <f>+G31*1000/(G27*G32)*100</f>
        <v>504.512</v>
      </c>
      <c r="J34" s="83">
        <f t="shared" ref="J34:J35" si="9">+G34/D34</f>
        <v>1.0332334892942223</v>
      </c>
      <c r="K34" s="84">
        <f t="shared" ref="K34:K35" si="10">+G34-D34</f>
        <v>16.227400993612434</v>
      </c>
    </row>
    <row r="35" spans="2:13" ht="15" customHeight="1">
      <c r="B35" s="21" t="s">
        <v>45</v>
      </c>
      <c r="D35" s="54">
        <f>+D31/D27*1000</f>
        <v>373.03761533002125</v>
      </c>
      <c r="G35" s="54">
        <f>+G31/G27*1000</f>
        <v>154.53136000000001</v>
      </c>
      <c r="J35" s="83">
        <f t="shared" si="9"/>
        <v>0.41425141500351981</v>
      </c>
      <c r="K35" s="84">
        <f t="shared" si="10"/>
        <v>-218.50625533002125</v>
      </c>
    </row>
    <row r="36" spans="2:13" ht="7.5" customHeight="1">
      <c r="B36" s="19"/>
      <c r="G36" s="13"/>
      <c r="J36" s="42"/>
      <c r="K36" s="19"/>
    </row>
    <row r="37" spans="2:13">
      <c r="B37" s="23" t="s">
        <v>38</v>
      </c>
      <c r="C37" s="22"/>
      <c r="D37" s="24">
        <f>+D8/(1-D6/D5)</f>
        <v>7110.4786767022542</v>
      </c>
      <c r="G37" s="24">
        <f>+G8/(1-G6/G5)</f>
        <v>7383.3998435220192</v>
      </c>
      <c r="J37" s="43">
        <f>+G37/D37</f>
        <v>1.0383829527137183</v>
      </c>
      <c r="K37" s="24">
        <f>+G37-D37</f>
        <v>272.92116681976495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1" sqref="G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9.570312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68</v>
      </c>
      <c r="E3" s="26" t="s">
        <v>19</v>
      </c>
      <c r="F3" s="3" t="s">
        <v>43</v>
      </c>
      <c r="G3" s="4" t="s">
        <v>48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+'2014'!AD4</f>
        <v>14</v>
      </c>
      <c r="G4" s="25" t="s">
        <v>20</v>
      </c>
      <c r="H4" s="3" t="s">
        <v>21</v>
      </c>
      <c r="I4" s="3">
        <f>+'2015'!U4</f>
        <v>15</v>
      </c>
      <c r="J4" s="30"/>
    </row>
    <row r="5" spans="2:21">
      <c r="B5" s="10" t="s">
        <v>3</v>
      </c>
      <c r="C5" s="19"/>
      <c r="D5" s="8">
        <f>+'2014'!AB5</f>
        <v>805.63448000000005</v>
      </c>
      <c r="E5" s="15">
        <f>+D5/$D$5</f>
        <v>1</v>
      </c>
      <c r="F5" s="93">
        <f>+D5/F4</f>
        <v>57.545320000000004</v>
      </c>
      <c r="G5" s="14">
        <f>+'2015'!AB5</f>
        <v>797.04154999999992</v>
      </c>
      <c r="H5" s="15">
        <f>+G5/$G$5</f>
        <v>1</v>
      </c>
      <c r="I5" s="93">
        <f>+G5/I4</f>
        <v>53.136103333333331</v>
      </c>
      <c r="J5" s="83">
        <f t="shared" ref="J5:J23" si="0">+G5/D5</f>
        <v>0.98933395948991643</v>
      </c>
      <c r="K5" s="84">
        <f>+G5-D5</f>
        <v>-8.5929300000001376</v>
      </c>
      <c r="L5" s="84">
        <f>+I5-F5</f>
        <v>-4.4092166666666728</v>
      </c>
      <c r="M5" s="64"/>
    </row>
    <row r="6" spans="2:21">
      <c r="B6" s="7" t="s">
        <v>4</v>
      </c>
      <c r="C6" s="19"/>
      <c r="D6" s="11">
        <f>+'2014'!AB6</f>
        <v>67.142300000000006</v>
      </c>
      <c r="E6" s="12">
        <f>+D6/$D$5</f>
        <v>8.3340896730239256E-2</v>
      </c>
      <c r="F6" s="80">
        <f>+D6/F4</f>
        <v>4.7958785714285721</v>
      </c>
      <c r="G6" s="16">
        <f>+'2015'!AB6</f>
        <v>100.49034</v>
      </c>
      <c r="H6" s="12">
        <f>+G6/$G$5</f>
        <v>0.12607917366415844</v>
      </c>
      <c r="I6" s="80">
        <f>+G6/I4</f>
        <v>6.6993559999999999</v>
      </c>
      <c r="J6" s="85">
        <f t="shared" si="0"/>
        <v>1.4966770575330306</v>
      </c>
      <c r="K6" s="86">
        <f>+G6-D6</f>
        <v>33.348039999999997</v>
      </c>
      <c r="L6" s="86">
        <f>+I6-F6</f>
        <v>1.9034774285714278</v>
      </c>
      <c r="M6" s="64"/>
    </row>
    <row r="7" spans="2:21">
      <c r="B7" s="10" t="s">
        <v>6</v>
      </c>
      <c r="C7" s="19"/>
      <c r="D7" s="8">
        <f>+'2014'!AB7</f>
        <v>738.49218000000008</v>
      </c>
      <c r="E7" s="17">
        <f>+D7/$D$5</f>
        <v>0.91665910326976074</v>
      </c>
      <c r="F7" s="82">
        <f>+F5-F6</f>
        <v>52.74944142857143</v>
      </c>
      <c r="G7" s="14">
        <f>+'2015'!AB7</f>
        <v>696.55120999999986</v>
      </c>
      <c r="H7" s="17">
        <f>+G7/$G$5</f>
        <v>0.87392082633584145</v>
      </c>
      <c r="I7" s="82">
        <f>+I5-I6</f>
        <v>46.436747333333329</v>
      </c>
      <c r="J7" s="87">
        <f t="shared" si="0"/>
        <v>0.94320729300071904</v>
      </c>
      <c r="K7" s="84">
        <f>+G7-D7</f>
        <v>-41.94097000000022</v>
      </c>
      <c r="L7" s="84">
        <f>+I7-F7</f>
        <v>-6.3126940952381005</v>
      </c>
      <c r="M7" s="64"/>
    </row>
    <row r="8" spans="2:21">
      <c r="B8" s="7" t="s">
        <v>5</v>
      </c>
      <c r="C8" s="19"/>
      <c r="D8" s="11">
        <f>+'2014'!AB8</f>
        <v>710.93399999999997</v>
      </c>
      <c r="E8" s="12">
        <f>+D8/$D$5</f>
        <v>0.88245230020443011</v>
      </c>
      <c r="F8" s="80">
        <f>+D8/F4</f>
        <v>50.780999999999999</v>
      </c>
      <c r="G8" s="16">
        <f>+'2015'!AB8</f>
        <v>692.69287999999995</v>
      </c>
      <c r="H8" s="12">
        <f>+G8/$G$5</f>
        <v>0.8690800122026261</v>
      </c>
      <c r="I8" s="80">
        <f>+G8/I4</f>
        <v>46.179525333333331</v>
      </c>
      <c r="J8" s="85">
        <f t="shared" si="0"/>
        <v>0.97434203456298329</v>
      </c>
      <c r="K8" s="86">
        <f>+G8-D8</f>
        <v>-18.241120000000024</v>
      </c>
      <c r="L8" s="86">
        <f>+I8-F8</f>
        <v>-4.6014746666666682</v>
      </c>
      <c r="M8" s="64"/>
    </row>
    <row r="9" spans="2:21">
      <c r="B9" s="21" t="s">
        <v>12</v>
      </c>
      <c r="C9" s="19"/>
      <c r="D9" s="18">
        <f>+D5-D6-D8</f>
        <v>27.558180000000107</v>
      </c>
      <c r="E9" s="15">
        <f>+D9/$D$5</f>
        <v>3.42068030653307E-2</v>
      </c>
      <c r="F9" s="18">
        <f>+F5-F6-F8</f>
        <v>1.9684414285714311</v>
      </c>
      <c r="G9" s="18">
        <f>+G5-G6-G8</f>
        <v>3.8583299999999099</v>
      </c>
      <c r="H9" s="15">
        <f>+G9/$G$5</f>
        <v>4.840814133215402E-3</v>
      </c>
      <c r="I9" s="18">
        <f>+I5-I6-I8</f>
        <v>0.25722199999999873</v>
      </c>
      <c r="J9" s="87">
        <f t="shared" si="0"/>
        <v>0.14000670581293448</v>
      </c>
      <c r="K9" s="84">
        <f>+G9-D9</f>
        <v>-23.699850000000197</v>
      </c>
      <c r="L9" s="84">
        <f>+I9-F9</f>
        <v>-1.7112194285714324</v>
      </c>
      <c r="M9" s="64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64"/>
    </row>
    <row r="11" spans="2:21">
      <c r="B11" s="20" t="s">
        <v>15</v>
      </c>
      <c r="C11" s="19"/>
      <c r="D11" s="37">
        <f>+'2014'!AB11</f>
        <v>17</v>
      </c>
      <c r="E11" s="19"/>
      <c r="F11" s="80">
        <f>+D11/F4</f>
        <v>1.2142857142857142</v>
      </c>
      <c r="G11" s="33">
        <f>+'2015'!AB11</f>
        <v>18</v>
      </c>
      <c r="H11" s="19"/>
      <c r="I11" s="80">
        <f>+G11/I4</f>
        <v>1.2</v>
      </c>
      <c r="J11" s="85">
        <f t="shared" si="0"/>
        <v>1.0588235294117647</v>
      </c>
      <c r="K11" s="86">
        <f t="shared" ref="K11:K16" si="1">+G11-D11</f>
        <v>1</v>
      </c>
      <c r="L11" s="86">
        <f>+I11-F11</f>
        <v>-1.4285714285714235E-2</v>
      </c>
      <c r="M11" s="64"/>
    </row>
    <row r="12" spans="2:21">
      <c r="B12" s="20" t="s">
        <v>13</v>
      </c>
      <c r="C12" s="19"/>
      <c r="D12" s="37">
        <f>+'2014'!AB12</f>
        <v>483.75560999999999</v>
      </c>
      <c r="E12" s="19"/>
      <c r="F12" s="80">
        <f>+D12/F4</f>
        <v>34.553972142857141</v>
      </c>
      <c r="G12" s="33">
        <f>+'2015'!AB12</f>
        <v>520.57100000000003</v>
      </c>
      <c r="H12" s="19"/>
      <c r="I12" s="80">
        <f>+G12/I4</f>
        <v>34.704733333333337</v>
      </c>
      <c r="J12" s="85">
        <f t="shared" si="0"/>
        <v>1.0761032828125756</v>
      </c>
      <c r="K12" s="86">
        <f t="shared" si="1"/>
        <v>36.815390000000036</v>
      </c>
      <c r="L12" s="86">
        <f>+I12-F12</f>
        <v>0.15076119047619585</v>
      </c>
      <c r="M12" s="64"/>
    </row>
    <row r="13" spans="2:21">
      <c r="B13" s="21" t="s">
        <v>16</v>
      </c>
      <c r="C13" s="19"/>
      <c r="D13" s="38">
        <f>+D12/D5</f>
        <v>0.60046537481861495</v>
      </c>
      <c r="E13" s="19"/>
      <c r="F13" s="38"/>
      <c r="G13" s="38">
        <f>+G12/G5</f>
        <v>0.65312906209218335</v>
      </c>
      <c r="H13" s="19"/>
      <c r="I13" s="38"/>
      <c r="J13" s="83">
        <f t="shared" si="0"/>
        <v>1.0877047861243903</v>
      </c>
      <c r="K13" s="61">
        <f t="shared" si="1"/>
        <v>5.2663687273568405E-2</v>
      </c>
      <c r="L13" s="64"/>
      <c r="M13" s="64"/>
    </row>
    <row r="14" spans="2:21">
      <c r="B14" s="21" t="s">
        <v>14</v>
      </c>
      <c r="C14" s="19"/>
      <c r="D14" s="8">
        <f>+D5/D11</f>
        <v>47.390263529411769</v>
      </c>
      <c r="E14" s="19"/>
      <c r="F14" s="8"/>
      <c r="G14" s="8">
        <f>+G5/G11</f>
        <v>44.280086111111103</v>
      </c>
      <c r="H14" s="19"/>
      <c r="I14" s="8"/>
      <c r="J14" s="83">
        <f t="shared" si="0"/>
        <v>0.93437096174047651</v>
      </c>
      <c r="K14" s="84">
        <f t="shared" si="1"/>
        <v>-3.1101774183006654</v>
      </c>
      <c r="L14" s="64"/>
      <c r="M14" s="64"/>
    </row>
    <row r="15" spans="2:21">
      <c r="B15" s="10" t="s">
        <v>41</v>
      </c>
      <c r="C15" s="19"/>
      <c r="D15" s="8">
        <f>+D12/D11</f>
        <v>28.456212352941176</v>
      </c>
      <c r="E15" s="19"/>
      <c r="F15" s="8"/>
      <c r="G15" s="8">
        <f>+G12/G11</f>
        <v>28.920611111111114</v>
      </c>
      <c r="H15" s="19"/>
      <c r="I15" s="8"/>
      <c r="J15" s="83">
        <f t="shared" si="0"/>
        <v>1.016319767100766</v>
      </c>
      <c r="K15" s="84">
        <f t="shared" si="1"/>
        <v>0.46439875816993847</v>
      </c>
      <c r="L15" s="64"/>
      <c r="M15" s="64"/>
    </row>
    <row r="16" spans="2:21">
      <c r="B16" s="21" t="s">
        <v>17</v>
      </c>
      <c r="C16" s="19"/>
      <c r="D16" s="38">
        <f>+D12/D7</f>
        <v>0.65505854103966266</v>
      </c>
      <c r="E16" s="19"/>
      <c r="F16" s="38"/>
      <c r="G16" s="38">
        <f>+G12/G7</f>
        <v>0.7473549575773476</v>
      </c>
      <c r="H16" s="19"/>
      <c r="I16" s="38"/>
      <c r="J16" s="83">
        <f t="shared" si="0"/>
        <v>1.1408979667545416</v>
      </c>
      <c r="K16" s="61">
        <f t="shared" si="1"/>
        <v>9.2296416537684944E-2</v>
      </c>
      <c r="L16" s="64"/>
      <c r="M16" s="64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64"/>
    </row>
    <row r="18" spans="2:13">
      <c r="B18" s="20" t="s">
        <v>27</v>
      </c>
      <c r="C18" s="19"/>
      <c r="D18" s="37">
        <f>+'2014'!AB18</f>
        <v>11541</v>
      </c>
      <c r="E18" s="11">
        <f>+'2014'!AC18</f>
        <v>11541</v>
      </c>
      <c r="F18" s="80">
        <f>+D18/F4</f>
        <v>824.35714285714289</v>
      </c>
      <c r="G18" s="33">
        <f>+'2015'!AB18</f>
        <v>11302</v>
      </c>
      <c r="H18" s="16">
        <f>+'2015'!AC18</f>
        <v>11302</v>
      </c>
      <c r="I18" s="80">
        <f>+G18/I4</f>
        <v>753.4666666666667</v>
      </c>
      <c r="J18" s="85">
        <f t="shared" si="0"/>
        <v>0.97929122259769519</v>
      </c>
      <c r="K18" s="86">
        <f t="shared" ref="K18:K23" si="2">+G18-D18</f>
        <v>-239</v>
      </c>
      <c r="L18" s="86">
        <f>+I18-F18</f>
        <v>-70.890476190476193</v>
      </c>
      <c r="M18" s="64"/>
    </row>
    <row r="19" spans="2:13">
      <c r="B19" s="20" t="s">
        <v>28</v>
      </c>
      <c r="C19" s="19"/>
      <c r="D19" s="37">
        <f>+'2014'!AB19</f>
        <v>1538.46</v>
      </c>
      <c r="E19" s="11">
        <f>+'2014'!AC19</f>
        <v>1538.46</v>
      </c>
      <c r="F19" s="80">
        <f>+D19/F4</f>
        <v>109.89</v>
      </c>
      <c r="G19" s="33">
        <f>+'2015'!AB19</f>
        <v>1489.76</v>
      </c>
      <c r="H19" s="16">
        <f>+'2015'!AC19</f>
        <v>1489.76</v>
      </c>
      <c r="I19" s="80">
        <f>+G19/I4</f>
        <v>99.317333333333337</v>
      </c>
      <c r="J19" s="85">
        <f t="shared" si="0"/>
        <v>0.9683449683449683</v>
      </c>
      <c r="K19" s="86">
        <f t="shared" si="2"/>
        <v>-48.700000000000045</v>
      </c>
      <c r="L19" s="86">
        <f>+I19-F19</f>
        <v>-10.572666666666663</v>
      </c>
      <c r="M19" s="64"/>
    </row>
    <row r="20" spans="2:13">
      <c r="B20" s="20" t="s">
        <v>29</v>
      </c>
      <c r="C20" s="19"/>
      <c r="D20" s="37">
        <f>+'2014'!AB20</f>
        <v>55.632090000000005</v>
      </c>
      <c r="E20" s="11">
        <f>+'2014'!AC20</f>
        <v>55.632109999999997</v>
      </c>
      <c r="F20" s="80">
        <f>+D20/F4</f>
        <v>3.9737207142857147</v>
      </c>
      <c r="G20" s="33">
        <f>+'2015'!AB20</f>
        <v>41.860600000000005</v>
      </c>
      <c r="H20" s="16">
        <f>+'2015'!AC20</f>
        <v>41.86063</v>
      </c>
      <c r="I20" s="80">
        <f>+G20/I4</f>
        <v>2.7907066666666669</v>
      </c>
      <c r="J20" s="85">
        <f t="shared" si="0"/>
        <v>0.7524542040394312</v>
      </c>
      <c r="K20" s="86">
        <f t="shared" si="2"/>
        <v>-13.77149</v>
      </c>
      <c r="L20" s="86">
        <f>+I20-F20</f>
        <v>-1.1830140476190478</v>
      </c>
      <c r="M20" s="64"/>
    </row>
    <row r="21" spans="2:13">
      <c r="B21" s="21" t="s">
        <v>30</v>
      </c>
      <c r="C21" s="19"/>
      <c r="D21" s="50">
        <f>+D20/D19*1000</f>
        <v>36.160894660894662</v>
      </c>
      <c r="E21" s="28">
        <f>+E20/E19*1000</f>
        <v>36.160907660907661</v>
      </c>
      <c r="F21" s="28"/>
      <c r="G21" s="50">
        <f>+G20/G19*1000</f>
        <v>28.098888411556228</v>
      </c>
      <c r="H21" s="50">
        <f>+H20/H19*1000</f>
        <v>28.098908549028032</v>
      </c>
      <c r="I21" s="28"/>
      <c r="J21" s="83">
        <f t="shared" si="0"/>
        <v>0.77705180347606562</v>
      </c>
      <c r="K21" s="84">
        <f t="shared" si="2"/>
        <v>-8.0620062493384346</v>
      </c>
      <c r="L21" s="91">
        <f>+H21/E21</f>
        <v>0.77705208100749124</v>
      </c>
      <c r="M21" s="92">
        <f>+H21-E21</f>
        <v>-8.0619991118796293</v>
      </c>
    </row>
    <row r="22" spans="2:13">
      <c r="B22" s="21" t="s">
        <v>31</v>
      </c>
      <c r="C22" s="19"/>
      <c r="D22" s="52">
        <f>+D19/D18</f>
        <v>0.13330387314790745</v>
      </c>
      <c r="E22" s="52">
        <f>+E19/E18</f>
        <v>0.13330387314790745</v>
      </c>
      <c r="F22" s="52"/>
      <c r="G22" s="60">
        <f>+G19/G18</f>
        <v>0.13181383825871526</v>
      </c>
      <c r="H22" s="60">
        <f>+H19/H18</f>
        <v>0.13181383825871526</v>
      </c>
      <c r="I22" s="52"/>
      <c r="J22" s="83">
        <f t="shared" si="0"/>
        <v>0.98882226859575995</v>
      </c>
      <c r="K22" s="84">
        <f t="shared" si="2"/>
        <v>-1.4900348891921933E-3</v>
      </c>
      <c r="L22" s="64"/>
      <c r="M22" s="64"/>
    </row>
    <row r="23" spans="2:13">
      <c r="B23" s="10" t="s">
        <v>26</v>
      </c>
      <c r="C23" s="10"/>
      <c r="D23" s="54">
        <f>+D20*1000/(D18*D21)*100</f>
        <v>13.330387314790748</v>
      </c>
      <c r="E23" s="54">
        <f>+E20*1000/(E18*E21)*100</f>
        <v>13.330387314790745</v>
      </c>
      <c r="F23" s="54"/>
      <c r="G23" s="54">
        <f>+G20/(G18*G21)*1000*100</f>
        <v>13.181383825871526</v>
      </c>
      <c r="H23" s="54">
        <f>+H20/(H18*H21)*1000*100</f>
        <v>13.181383825871528</v>
      </c>
      <c r="I23" s="54"/>
      <c r="J23" s="83">
        <f t="shared" si="0"/>
        <v>0.98882226859575983</v>
      </c>
      <c r="K23" s="84">
        <f t="shared" si="2"/>
        <v>-0.14900348891922199</v>
      </c>
      <c r="L23" s="64"/>
      <c r="M23" s="64"/>
    </row>
    <row r="24" spans="2:13">
      <c r="B24" s="21" t="s">
        <v>44</v>
      </c>
      <c r="C24" s="10"/>
      <c r="D24" s="54">
        <f>+D20/D18*1000</f>
        <v>4.8203873147907466</v>
      </c>
      <c r="E24" s="54">
        <f>+E20/E18*1000</f>
        <v>4.8203890477428297</v>
      </c>
      <c r="F24" s="54"/>
      <c r="G24" s="54">
        <f>+G20/G18*1000</f>
        <v>3.7038223323305615</v>
      </c>
      <c r="H24" s="54">
        <f>+H20/H18*1000</f>
        <v>3.7038249867280126</v>
      </c>
      <c r="I24" s="54"/>
      <c r="J24" s="83">
        <f t="shared" ref="J24" si="3">+G24/D24</f>
        <v>0.76836612712962982</v>
      </c>
      <c r="K24" s="84">
        <f t="shared" ref="K24" si="4">+G24-D24</f>
        <v>-1.1165649824601851</v>
      </c>
      <c r="L24" s="64"/>
      <c r="M24" s="64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64"/>
      <c r="M25" s="64"/>
    </row>
    <row r="26" spans="2:13" ht="15" customHeight="1">
      <c r="B26" s="20" t="s">
        <v>46</v>
      </c>
      <c r="C26" s="10"/>
      <c r="D26" s="54"/>
      <c r="E26" s="54"/>
      <c r="F26" s="97">
        <f>+'2014'!AD26</f>
        <v>4</v>
      </c>
      <c r="G26" s="54"/>
      <c r="H26" s="54"/>
      <c r="I26" s="97">
        <f>+'2015'!AD26</f>
        <v>4</v>
      </c>
      <c r="J26" s="83"/>
      <c r="K26" s="84"/>
      <c r="L26" s="64"/>
      <c r="M26" s="64"/>
    </row>
    <row r="27" spans="2:13">
      <c r="B27" s="20" t="s">
        <v>36</v>
      </c>
      <c r="C27" s="10"/>
      <c r="D27" s="37">
        <f>+'2014'!AB27</f>
        <v>8</v>
      </c>
      <c r="E27" s="54"/>
      <c r="F27" s="11">
        <f>+D27/F26</f>
        <v>2</v>
      </c>
      <c r="G27" s="33">
        <f>+'2015'!AB27</f>
        <v>3</v>
      </c>
      <c r="H27" s="54"/>
      <c r="I27" s="11">
        <f>+G27/I26</f>
        <v>0.75</v>
      </c>
      <c r="J27" s="85">
        <f t="shared" ref="J27:J34" si="5">+G27/D27</f>
        <v>0.375</v>
      </c>
      <c r="K27" s="86">
        <f t="shared" ref="K27:K34" si="6">+G27-D27</f>
        <v>-5</v>
      </c>
      <c r="L27" s="86">
        <f>+I27-F27</f>
        <v>-1.25</v>
      </c>
      <c r="M27" s="64"/>
    </row>
    <row r="28" spans="2:13">
      <c r="B28" s="20" t="s">
        <v>39</v>
      </c>
      <c r="C28" s="10"/>
      <c r="D28" s="37">
        <f>+'2014'!AB28</f>
        <v>704</v>
      </c>
      <c r="E28" s="54"/>
      <c r="F28" s="11">
        <f>+D28/F26</f>
        <v>176</v>
      </c>
      <c r="G28" s="33">
        <f>+'2015'!AB28</f>
        <v>672</v>
      </c>
      <c r="H28" s="54"/>
      <c r="I28" s="11">
        <f>+G28/I26</f>
        <v>168</v>
      </c>
      <c r="J28" s="85">
        <f t="shared" si="5"/>
        <v>0.95454545454545459</v>
      </c>
      <c r="K28" s="86">
        <f t="shared" si="6"/>
        <v>-32</v>
      </c>
      <c r="L28" s="86">
        <f>+I28-F28</f>
        <v>-8</v>
      </c>
      <c r="M28" s="64"/>
    </row>
    <row r="29" spans="2:13">
      <c r="B29" s="21" t="s">
        <v>40</v>
      </c>
      <c r="C29" s="10"/>
      <c r="D29" s="38">
        <f>+D27/D28</f>
        <v>1.1363636363636364E-2</v>
      </c>
      <c r="E29" s="54"/>
      <c r="F29" s="38">
        <f>+F27/F28</f>
        <v>1.1363636363636364E-2</v>
      </c>
      <c r="G29" s="38">
        <f>+G27/G28</f>
        <v>4.464285714285714E-3</v>
      </c>
      <c r="H29" s="54"/>
      <c r="I29" s="38">
        <f>+I27/I28</f>
        <v>4.464285714285714E-3</v>
      </c>
      <c r="J29" s="83">
        <f t="shared" si="5"/>
        <v>0.39285714285714285</v>
      </c>
      <c r="K29" s="84">
        <f t="shared" si="6"/>
        <v>-6.8993506493506499E-3</v>
      </c>
      <c r="L29" s="86">
        <f>+I29-F29</f>
        <v>-6.8993506493506499E-3</v>
      </c>
      <c r="M29" s="64"/>
    </row>
    <row r="30" spans="2:13">
      <c r="B30" s="20" t="s">
        <v>32</v>
      </c>
      <c r="C30" s="10"/>
      <c r="D30" s="37">
        <f>+'2014'!AB30</f>
        <v>75.099999999999994</v>
      </c>
      <c r="E30" s="54"/>
      <c r="F30" s="11">
        <f>+D30/F26</f>
        <v>18.774999999999999</v>
      </c>
      <c r="G30" s="33">
        <f>+'2015'!AB30</f>
        <v>10</v>
      </c>
      <c r="H30" s="54"/>
      <c r="I30" s="11">
        <f>+G30/I26</f>
        <v>2.5</v>
      </c>
      <c r="J30" s="85">
        <f t="shared" si="5"/>
        <v>0.13315579227696406</v>
      </c>
      <c r="K30" s="86">
        <f t="shared" si="6"/>
        <v>-65.099999999999994</v>
      </c>
      <c r="L30" s="86">
        <f>+I30-F30</f>
        <v>-16.274999999999999</v>
      </c>
      <c r="M30" s="64"/>
    </row>
    <row r="31" spans="2:13">
      <c r="B31" s="20" t="s">
        <v>33</v>
      </c>
      <c r="C31" s="10"/>
      <c r="D31" s="37">
        <f>+'2014'!AB31</f>
        <v>2.7682099999999998</v>
      </c>
      <c r="E31" s="54"/>
      <c r="F31" s="11">
        <f>+D31/F26</f>
        <v>0.69205249999999996</v>
      </c>
      <c r="G31" s="33">
        <f>+'2015'!AB31</f>
        <v>0.28499999999999998</v>
      </c>
      <c r="H31" s="54"/>
      <c r="I31" s="11">
        <f>+G31/I26</f>
        <v>7.1249999999999994E-2</v>
      </c>
      <c r="J31" s="85">
        <f t="shared" si="5"/>
        <v>0.1029546168823897</v>
      </c>
      <c r="K31" s="86">
        <f t="shared" si="6"/>
        <v>-2.4832099999999997</v>
      </c>
      <c r="L31" s="86">
        <f>+I31-F31</f>
        <v>-0.62080249999999992</v>
      </c>
      <c r="M31" s="64"/>
    </row>
    <row r="32" spans="2:13">
      <c r="B32" s="21" t="s">
        <v>34</v>
      </c>
      <c r="C32" s="10"/>
      <c r="D32" s="50">
        <f>+D31/D30*1000</f>
        <v>36.860319573901464</v>
      </c>
      <c r="E32" s="54"/>
      <c r="F32" s="54"/>
      <c r="G32" s="50">
        <f>+G31/G30*1000</f>
        <v>28.499999999999996</v>
      </c>
      <c r="H32" s="54"/>
      <c r="I32" s="54"/>
      <c r="J32" s="83">
        <f t="shared" si="5"/>
        <v>0.77318917278674659</v>
      </c>
      <c r="K32" s="84">
        <f t="shared" si="6"/>
        <v>-8.3603195739014673</v>
      </c>
      <c r="L32" s="64"/>
      <c r="M32" s="64"/>
    </row>
    <row r="33" spans="2:13">
      <c r="B33" s="21" t="s">
        <v>35</v>
      </c>
      <c r="C33" s="10"/>
      <c r="D33" s="52">
        <f>+D30/D27</f>
        <v>9.3874999999999993</v>
      </c>
      <c r="E33" s="54"/>
      <c r="F33" s="54"/>
      <c r="G33" s="52">
        <f>+G30/G27</f>
        <v>3.3333333333333335</v>
      </c>
      <c r="H33" s="54"/>
      <c r="I33" s="54"/>
      <c r="J33" s="83">
        <f t="shared" si="5"/>
        <v>0.35508211273857082</v>
      </c>
      <c r="K33" s="84">
        <f t="shared" si="6"/>
        <v>-6.0541666666666654</v>
      </c>
      <c r="L33" s="64"/>
      <c r="M33" s="64"/>
    </row>
    <row r="34" spans="2:13">
      <c r="B34" s="10" t="s">
        <v>37</v>
      </c>
      <c r="D34" s="54">
        <f>+D31*1000/(D27*D32)*100</f>
        <v>938.75000000000011</v>
      </c>
      <c r="G34" s="54">
        <f>+G31*1000/(G27*G32)*100</f>
        <v>333.33333333333337</v>
      </c>
      <c r="J34" s="83">
        <f t="shared" si="5"/>
        <v>0.35508211273857077</v>
      </c>
      <c r="K34" s="84">
        <f t="shared" si="6"/>
        <v>-605.41666666666674</v>
      </c>
      <c r="L34" s="64"/>
      <c r="M34" s="64"/>
    </row>
    <row r="35" spans="2:13">
      <c r="B35" s="21" t="s">
        <v>45</v>
      </c>
      <c r="D35" s="54">
        <f>+D31/D27*1000</f>
        <v>346.02625</v>
      </c>
      <c r="G35" s="54">
        <f>+G31/G27*1000</f>
        <v>94.999999999999986</v>
      </c>
      <c r="J35" s="83">
        <f t="shared" ref="J35" si="7">+G35/D35</f>
        <v>0.27454564501970585</v>
      </c>
      <c r="K35" s="84">
        <f t="shared" ref="K35" si="8">+G35-D35</f>
        <v>-251.02625</v>
      </c>
      <c r="L35" s="64"/>
      <c r="M35" s="64"/>
    </row>
    <row r="36" spans="2:13" ht="7.5" customHeight="1">
      <c r="B36" s="19"/>
      <c r="C36" s="44"/>
      <c r="D36" s="44"/>
      <c r="E36" s="44"/>
      <c r="F36" s="44"/>
      <c r="G36" s="45"/>
      <c r="H36" s="44"/>
      <c r="I36" s="44"/>
      <c r="J36" s="88"/>
      <c r="K36" s="64"/>
      <c r="L36" s="64"/>
      <c r="M36" s="64"/>
    </row>
    <row r="37" spans="2:13">
      <c r="B37" s="23" t="s">
        <v>38</v>
      </c>
      <c r="C37" s="46"/>
      <c r="D37" s="24">
        <f>+D8/(1-D6/D5)</f>
        <v>775.57076285400876</v>
      </c>
      <c r="E37" s="44"/>
      <c r="F37" s="44"/>
      <c r="G37" s="24">
        <f>+G8/(1-G6/G5)</f>
        <v>792.62658484099677</v>
      </c>
      <c r="H37" s="44"/>
      <c r="I37" s="44"/>
      <c r="J37" s="43">
        <f>+G37/D37</f>
        <v>1.0219913163361454</v>
      </c>
      <c r="K37" s="24">
        <f>+G37-D37</f>
        <v>17.055821986988008</v>
      </c>
      <c r="L37" s="64"/>
      <c r="M37" s="64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Q5" activePane="bottomRight" state="frozen"/>
      <selection pane="topRight" activeCell="C1" sqref="C1"/>
      <selection pane="bottomLeft" activeCell="A5" sqref="A5"/>
      <selection pane="bottomRight" activeCell="AB4" sqref="AB4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60</v>
      </c>
      <c r="E3" s="26" t="s">
        <v>19</v>
      </c>
      <c r="F3" s="3" t="s">
        <v>43</v>
      </c>
      <c r="G3" s="4" t="s">
        <v>61</v>
      </c>
      <c r="H3" s="26" t="s">
        <v>19</v>
      </c>
      <c r="I3" s="3" t="s">
        <v>43</v>
      </c>
      <c r="J3" s="4" t="s">
        <v>62</v>
      </c>
      <c r="K3" s="26" t="s">
        <v>19</v>
      </c>
      <c r="L3" s="3" t="s">
        <v>43</v>
      </c>
      <c r="M3" s="4" t="s">
        <v>63</v>
      </c>
      <c r="N3" s="26" t="s">
        <v>19</v>
      </c>
      <c r="O3" s="3" t="s">
        <v>43</v>
      </c>
      <c r="P3" s="4" t="s">
        <v>64</v>
      </c>
      <c r="Q3" s="26" t="s">
        <v>19</v>
      </c>
      <c r="R3" s="3" t="s">
        <v>43</v>
      </c>
      <c r="S3" s="4" t="s">
        <v>65</v>
      </c>
      <c r="T3" s="26" t="s">
        <v>19</v>
      </c>
      <c r="U3" s="3" t="s">
        <v>43</v>
      </c>
      <c r="V3" s="4" t="s">
        <v>66</v>
      </c>
      <c r="W3" s="26" t="s">
        <v>19</v>
      </c>
      <c r="X3" s="3" t="s">
        <v>43</v>
      </c>
      <c r="Y3" s="4" t="s">
        <v>67</v>
      </c>
      <c r="Z3" s="69" t="s">
        <v>19</v>
      </c>
      <c r="AA3" s="3" t="s">
        <v>43</v>
      </c>
      <c r="AB3" s="4" t="s">
        <v>68</v>
      </c>
      <c r="AC3" s="59" t="s">
        <v>10</v>
      </c>
      <c r="AD3" s="3" t="s">
        <v>43</v>
      </c>
      <c r="AE3" s="4" t="s">
        <v>69</v>
      </c>
      <c r="AF3" s="59" t="s">
        <v>10</v>
      </c>
      <c r="AG3" s="3" t="s">
        <v>43</v>
      </c>
      <c r="AH3" s="4" t="s">
        <v>70</v>
      </c>
      <c r="AI3" s="59" t="s">
        <v>10</v>
      </c>
      <c r="AJ3" s="3" t="s">
        <v>43</v>
      </c>
      <c r="AK3" s="4" t="s">
        <v>7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14</v>
      </c>
      <c r="G4" s="56"/>
      <c r="H4" s="3" t="s">
        <v>21</v>
      </c>
      <c r="I4" s="3">
        <v>14</v>
      </c>
      <c r="J4" s="56"/>
      <c r="K4" s="3" t="s">
        <v>21</v>
      </c>
      <c r="L4" s="3">
        <v>14</v>
      </c>
      <c r="M4" s="56"/>
      <c r="N4" s="3" t="s">
        <v>21</v>
      </c>
      <c r="O4" s="3">
        <v>14</v>
      </c>
      <c r="P4" s="56"/>
      <c r="Q4" s="3" t="s">
        <v>21</v>
      </c>
      <c r="R4" s="3">
        <v>14</v>
      </c>
      <c r="S4" s="56"/>
      <c r="T4" s="3" t="s">
        <v>21</v>
      </c>
      <c r="U4" s="3">
        <v>14</v>
      </c>
      <c r="V4" s="56"/>
      <c r="W4" s="3" t="s">
        <v>21</v>
      </c>
      <c r="X4" s="3">
        <v>14</v>
      </c>
      <c r="Y4" s="56"/>
      <c r="Z4" s="39" t="s">
        <v>21</v>
      </c>
      <c r="AA4" s="3">
        <v>14</v>
      </c>
      <c r="AB4" s="56"/>
      <c r="AC4" s="56"/>
      <c r="AD4" s="3">
        <v>14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14</v>
      </c>
      <c r="AS4" s="48">
        <v>9</v>
      </c>
      <c r="AT4" s="3" t="s">
        <v>21</v>
      </c>
      <c r="AU4" s="3">
        <f>+AR4</f>
        <v>14</v>
      </c>
    </row>
    <row r="5" spans="2:47">
      <c r="B5" s="10" t="s">
        <v>3</v>
      </c>
      <c r="C5" s="19"/>
      <c r="D5" s="9">
        <f>21.51517+790.938</f>
        <v>812.45317</v>
      </c>
      <c r="E5" s="61">
        <f>+D5/D5</f>
        <v>1</v>
      </c>
      <c r="F5" s="93">
        <f>+D5/F4</f>
        <v>58.032369285714289</v>
      </c>
      <c r="G5" s="9">
        <f>18.45+729.415</f>
        <v>747.86500000000001</v>
      </c>
      <c r="H5" s="61">
        <f>+G5/G5</f>
        <v>1</v>
      </c>
      <c r="I5" s="93">
        <f>+G5/I4</f>
        <v>53.418928571428573</v>
      </c>
      <c r="J5" s="9">
        <f>58.965+796.101</f>
        <v>855.06600000000003</v>
      </c>
      <c r="K5" s="61">
        <f>+J5/J5</f>
        <v>1</v>
      </c>
      <c r="L5" s="93">
        <f>+J5/L4</f>
        <v>61.076142857142862</v>
      </c>
      <c r="M5" s="9">
        <f>17.965+789.821</f>
        <v>807.78600000000006</v>
      </c>
      <c r="N5" s="61">
        <f>+M5/M5</f>
        <v>1</v>
      </c>
      <c r="O5" s="93">
        <f>+M5/O4</f>
        <v>57.699000000000005</v>
      </c>
      <c r="P5" s="9">
        <f>18.14725+780.893</f>
        <v>799.04025000000001</v>
      </c>
      <c r="Q5" s="61">
        <f>+P5/P5</f>
        <v>1</v>
      </c>
      <c r="R5" s="93">
        <f>+P5/R4</f>
        <v>57.074303571428572</v>
      </c>
      <c r="S5" s="9">
        <f>31.067+674.389</f>
        <v>705.45600000000002</v>
      </c>
      <c r="T5" s="61">
        <f>+S5/S5</f>
        <v>1</v>
      </c>
      <c r="U5" s="93">
        <f>+S5/U4</f>
        <v>50.389714285714284</v>
      </c>
      <c r="V5" s="9">
        <f>31.935+799.2817</f>
        <v>831.21669999999995</v>
      </c>
      <c r="W5" s="61">
        <f>+V5/V5</f>
        <v>1</v>
      </c>
      <c r="X5" s="93">
        <f>+V5/X4</f>
        <v>59.372621428571428</v>
      </c>
      <c r="Y5" s="9">
        <f>23.14496+726.13048</f>
        <v>749.27544</v>
      </c>
      <c r="Z5" s="71">
        <f>+Y5/Y5</f>
        <v>1</v>
      </c>
      <c r="AA5" s="93">
        <f>+Y5/AA4</f>
        <v>53.519674285714288</v>
      </c>
      <c r="AB5" s="9">
        <f>43.71+761.92448</f>
        <v>805.63448000000005</v>
      </c>
      <c r="AC5" s="61">
        <f>+AB5/$J$5</f>
        <v>0.94218981926541345</v>
      </c>
      <c r="AD5" s="93">
        <f>+AB5/AD4</f>
        <v>57.545320000000004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7113.7930399999996</v>
      </c>
      <c r="AQ5" s="71">
        <f>+AP5/$AP$5</f>
        <v>1</v>
      </c>
      <c r="AR5" s="93">
        <f>+AP5/AR4</f>
        <v>508.12807428571426</v>
      </c>
      <c r="AS5" s="35">
        <f>+AP5/$AS$4</f>
        <v>790.42144888888879</v>
      </c>
      <c r="AT5" s="64"/>
      <c r="AU5" s="93">
        <f>+AS5/AU4</f>
        <v>56.458674920634913</v>
      </c>
    </row>
    <row r="6" spans="2:47">
      <c r="B6" s="7" t="s">
        <v>4</v>
      </c>
      <c r="C6" s="19"/>
      <c r="D6" s="11">
        <f>8.53887+55.44289+0.761+0.18552</f>
        <v>64.928279999999987</v>
      </c>
      <c r="E6" s="62">
        <f>+D6/D5</f>
        <v>7.9916335362443094E-2</v>
      </c>
      <c r="F6" s="94">
        <f>+D6/F4</f>
        <v>4.6377342857142851</v>
      </c>
      <c r="G6" s="11">
        <f>4.1+52.316+3.34+8.996</f>
        <v>68.751999999999995</v>
      </c>
      <c r="H6" s="62">
        <f>+G6/G5</f>
        <v>9.1931030333014641E-2</v>
      </c>
      <c r="I6" s="94">
        <f>+G6/I4</f>
        <v>4.9108571428571421</v>
      </c>
      <c r="J6" s="11">
        <f>5.4124+55.6818+0.96544+71.53</f>
        <v>133.58964</v>
      </c>
      <c r="K6" s="62">
        <f>+J6/J5</f>
        <v>0.1562331328809706</v>
      </c>
      <c r="L6" s="94">
        <f>+J6/L4</f>
        <v>9.5421171428571423</v>
      </c>
      <c r="M6" s="11">
        <f>3.5257+52.62+40.009</f>
        <v>96.154699999999991</v>
      </c>
      <c r="N6" s="62">
        <f>+M6/M5</f>
        <v>0.11903486814577126</v>
      </c>
      <c r="O6" s="94">
        <f>+M6/O4</f>
        <v>6.8681928571428568</v>
      </c>
      <c r="P6" s="11">
        <f>4.1752+52.8475+51.6586</f>
        <v>108.68129999999999</v>
      </c>
      <c r="Q6" s="62">
        <f>+P6/P5</f>
        <v>0.13601480025568172</v>
      </c>
      <c r="R6" s="94">
        <f>+P6/R4</f>
        <v>7.7629499999999991</v>
      </c>
      <c r="S6" s="11">
        <f>3.913+53.2207+20.59687+78.608</f>
        <v>156.33857</v>
      </c>
      <c r="T6" s="62">
        <f>+S6/S5</f>
        <v>0.22161349538454561</v>
      </c>
      <c r="U6" s="94">
        <f>+S6/U4</f>
        <v>11.167040714285715</v>
      </c>
      <c r="V6" s="11">
        <f>3.9714+54.26371+80.639</f>
        <v>138.87411</v>
      </c>
      <c r="W6" s="62">
        <f>+V6/V5</f>
        <v>0.167073291477421</v>
      </c>
      <c r="X6" s="94">
        <f>+V6/X4</f>
        <v>9.9195792857142866</v>
      </c>
      <c r="Y6" s="11">
        <f>3.9948+53.5466+5.25413+67.386</f>
        <v>130.18153000000001</v>
      </c>
      <c r="Z6" s="72">
        <f>+Y6/Y5</f>
        <v>0.17374322318638924</v>
      </c>
      <c r="AA6" s="94">
        <f>+Y6/AA4</f>
        <v>9.2986807142857142</v>
      </c>
      <c r="AB6" s="11">
        <f>4.1032+54.2971+2.971+5.771</f>
        <v>67.142300000000006</v>
      </c>
      <c r="AC6" s="62">
        <f>+AB6/$J$5</f>
        <v>7.852294442768161E-2</v>
      </c>
      <c r="AD6" s="94">
        <f>+AB6/AD4</f>
        <v>4.7958785714285721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964.64242999999988</v>
      </c>
      <c r="AQ6" s="72">
        <f>+AP6/$AP$5</f>
        <v>0.13560170004608399</v>
      </c>
      <c r="AR6" s="94">
        <f>+AP6/AR4</f>
        <v>68.903030714285705</v>
      </c>
      <c r="AS6" s="16">
        <f t="shared" ref="AS6:AS9" si="0">+AP6/$AS$4</f>
        <v>107.18249222222221</v>
      </c>
      <c r="AT6" s="64"/>
      <c r="AU6" s="94">
        <f>+AS6/AU4</f>
        <v>7.6558923015873006</v>
      </c>
    </row>
    <row r="7" spans="2:47">
      <c r="B7" s="10" t="s">
        <v>6</v>
      </c>
      <c r="C7" s="19"/>
      <c r="D7" s="8">
        <f>+D5-D6</f>
        <v>747.52489000000003</v>
      </c>
      <c r="E7" s="63">
        <f>+D7/D5</f>
        <v>0.92008366463755697</v>
      </c>
      <c r="F7" s="82">
        <f>+F5-F6</f>
        <v>53.394635000000001</v>
      </c>
      <c r="G7" s="8">
        <f>+G5-G6</f>
        <v>679.11300000000006</v>
      </c>
      <c r="H7" s="63">
        <f>+G7/G5</f>
        <v>0.90806896966698547</v>
      </c>
      <c r="I7" s="82">
        <f>+I5-I6</f>
        <v>48.508071428571434</v>
      </c>
      <c r="J7" s="8">
        <f>+J5-J6</f>
        <v>721.47636</v>
      </c>
      <c r="K7" s="63">
        <f>+J7/J5</f>
        <v>0.84376686711902937</v>
      </c>
      <c r="L7" s="82">
        <f>+L5-L6</f>
        <v>51.534025714285718</v>
      </c>
      <c r="M7" s="8">
        <f>+M5-M6</f>
        <v>711.63130000000001</v>
      </c>
      <c r="N7" s="63">
        <f>+M7/M5</f>
        <v>0.88096513185422864</v>
      </c>
      <c r="O7" s="82">
        <f>+O5-O6</f>
        <v>50.830807142857147</v>
      </c>
      <c r="P7" s="8">
        <f>+P5-P6</f>
        <v>690.35895000000005</v>
      </c>
      <c r="Q7" s="63">
        <f>+P7/P5</f>
        <v>0.86398519974431831</v>
      </c>
      <c r="R7" s="82">
        <f>+R5-R6</f>
        <v>49.311353571428576</v>
      </c>
      <c r="S7" s="8">
        <f>+S5-S6</f>
        <v>549.11743000000001</v>
      </c>
      <c r="T7" s="63">
        <f>+S7/S5</f>
        <v>0.77838650461545444</v>
      </c>
      <c r="U7" s="82">
        <f>+U5-U6</f>
        <v>39.222673571428572</v>
      </c>
      <c r="V7" s="8">
        <f>+V5-V6</f>
        <v>692.34258999999997</v>
      </c>
      <c r="W7" s="63">
        <f>+V7/V5</f>
        <v>0.832926708522579</v>
      </c>
      <c r="X7" s="82">
        <f>+X5-X6</f>
        <v>49.453042142857143</v>
      </c>
      <c r="Y7" s="8">
        <f>+Y5-Y6</f>
        <v>619.09391000000005</v>
      </c>
      <c r="Z7" s="72">
        <f>+Y7/Y5</f>
        <v>0.82625677681361087</v>
      </c>
      <c r="AA7" s="82">
        <f>+AA5-AA6</f>
        <v>44.220993571428572</v>
      </c>
      <c r="AB7" s="8">
        <f>+AB5-AB6</f>
        <v>738.49218000000008</v>
      </c>
      <c r="AC7" s="63">
        <f>+AB7/$J$5</f>
        <v>0.86366687483773186</v>
      </c>
      <c r="AD7" s="82">
        <f>+AD5-AD6</f>
        <v>52.74944142857143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6149.1506099999997</v>
      </c>
      <c r="AQ7" s="72">
        <f>+AP7/$AP$5</f>
        <v>0.86439829995391604</v>
      </c>
      <c r="AR7" s="82">
        <f>+AR5-AR6</f>
        <v>439.22504357142856</v>
      </c>
      <c r="AS7" s="14">
        <f t="shared" si="0"/>
        <v>683.23895666666658</v>
      </c>
      <c r="AT7" s="64"/>
      <c r="AU7" s="82">
        <f>+AU5-AU6</f>
        <v>48.802782619047612</v>
      </c>
    </row>
    <row r="8" spans="2:47">
      <c r="B8" s="7" t="s">
        <v>5</v>
      </c>
      <c r="C8" s="19"/>
      <c r="D8" s="11">
        <v>686.08399999999995</v>
      </c>
      <c r="E8" s="62">
        <f>+D8/D5</f>
        <v>0.84445974898467069</v>
      </c>
      <c r="F8" s="94">
        <f>+D8/F4</f>
        <v>49.005999999999993</v>
      </c>
      <c r="G8" s="11">
        <v>617.68520999999998</v>
      </c>
      <c r="H8" s="62">
        <f>+G8/G5</f>
        <v>0.82593143147493198</v>
      </c>
      <c r="I8" s="94">
        <f>+G8/I4</f>
        <v>44.120372142857143</v>
      </c>
      <c r="J8" s="11">
        <v>645.53200000000004</v>
      </c>
      <c r="K8" s="62">
        <f>+J8/J5</f>
        <v>0.7549499102993219</v>
      </c>
      <c r="L8" s="94">
        <f>+J8/L4</f>
        <v>46.109428571428573</v>
      </c>
      <c r="M8" s="11">
        <v>775.29044999999996</v>
      </c>
      <c r="N8" s="62">
        <f>+M8/M5</f>
        <v>0.95977208072435016</v>
      </c>
      <c r="O8" s="94">
        <f>+M8/O4</f>
        <v>55.377889285714282</v>
      </c>
      <c r="P8" s="11">
        <v>656.19884000000002</v>
      </c>
      <c r="Q8" s="62">
        <f>+P8/P5</f>
        <v>0.82123377389311736</v>
      </c>
      <c r="R8" s="94">
        <f>+P8/R4</f>
        <v>46.871345714285717</v>
      </c>
      <c r="S8" s="11">
        <v>587.14949000000001</v>
      </c>
      <c r="T8" s="62">
        <f>+S8/S5</f>
        <v>0.83229781871583774</v>
      </c>
      <c r="U8" s="94">
        <f>+S8/U4</f>
        <v>41.93924928571429</v>
      </c>
      <c r="V8" s="11">
        <v>787.63800000000003</v>
      </c>
      <c r="W8" s="62">
        <f>+V8/V5</f>
        <v>0.94757239598290088</v>
      </c>
      <c r="X8" s="94">
        <f>+V8/X4</f>
        <v>56.259857142857143</v>
      </c>
      <c r="Y8" s="11">
        <v>679.77368999999999</v>
      </c>
      <c r="Z8" s="72">
        <f>+Y8/Y5</f>
        <v>0.90724138775988705</v>
      </c>
      <c r="AA8" s="94">
        <f>+Y8/AA4</f>
        <v>48.555263571428569</v>
      </c>
      <c r="AB8" s="11">
        <v>710.93399999999997</v>
      </c>
      <c r="AC8" s="62">
        <f>+AB8/$J$5</f>
        <v>0.83143757323996037</v>
      </c>
      <c r="AD8" s="94">
        <f>+AB8/AD4</f>
        <v>50.780999999999999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6146.285679999999</v>
      </c>
      <c r="AQ8" s="72">
        <f>+AP8/$AP$5</f>
        <v>0.86399557106035785</v>
      </c>
      <c r="AR8" s="94">
        <f>+AP8/AR4</f>
        <v>439.02040571428563</v>
      </c>
      <c r="AS8" s="16">
        <f t="shared" si="0"/>
        <v>682.92063111111099</v>
      </c>
      <c r="AT8" s="64"/>
      <c r="AU8" s="94">
        <f>+AS8/AU4</f>
        <v>48.780045079365074</v>
      </c>
    </row>
    <row r="9" spans="2:47">
      <c r="B9" s="21" t="s">
        <v>12</v>
      </c>
      <c r="C9" s="19"/>
      <c r="D9" s="18">
        <f>+D5-D6-D8</f>
        <v>61.440890000000081</v>
      </c>
      <c r="E9" s="61">
        <f>+D9/D5</f>
        <v>7.5623915652886287E-2</v>
      </c>
      <c r="F9" s="18">
        <f>+F5-F6-F8</f>
        <v>4.3886350000000078</v>
      </c>
      <c r="G9" s="18">
        <f>+G5-G6-G8</f>
        <v>61.427790000000073</v>
      </c>
      <c r="H9" s="61">
        <f>+G9/G5</f>
        <v>8.213753819205348E-2</v>
      </c>
      <c r="I9" s="18">
        <f>+I5-I6-I8</f>
        <v>4.3876992857142909</v>
      </c>
      <c r="J9" s="18">
        <f>+J5-J6-J8</f>
        <v>75.944359999999961</v>
      </c>
      <c r="K9" s="61">
        <f>+J9/J5</f>
        <v>8.8816956819707429E-2</v>
      </c>
      <c r="L9" s="18">
        <f>+L5-L6-L8</f>
        <v>5.4245971428571451</v>
      </c>
      <c r="M9" s="18">
        <f>+M5-M6-M8</f>
        <v>-63.659149999999954</v>
      </c>
      <c r="N9" s="61">
        <f>+M9/M5</f>
        <v>-7.8806948870121477E-2</v>
      </c>
      <c r="O9" s="18">
        <f>+O5-O6-O8</f>
        <v>-4.5470821428571355</v>
      </c>
      <c r="P9" s="18">
        <f>+P5-P6-P8</f>
        <v>34.160110000000032</v>
      </c>
      <c r="Q9" s="61">
        <f>+P9/P5</f>
        <v>4.2751425851200904E-2</v>
      </c>
      <c r="R9" s="18">
        <f>+R5-R6-R8</f>
        <v>2.4400078571428594</v>
      </c>
      <c r="S9" s="18">
        <f>+S5-S6-S8</f>
        <v>-38.032060000000001</v>
      </c>
      <c r="T9" s="61">
        <f>+S9/S5</f>
        <v>-5.3911314100383301E-2</v>
      </c>
      <c r="U9" s="18">
        <f>+U5-U6-U8</f>
        <v>-2.7165757142857174</v>
      </c>
      <c r="V9" s="18">
        <f>+V5-V6-V8</f>
        <v>-95.295410000000061</v>
      </c>
      <c r="W9" s="61">
        <f>+V9/V5</f>
        <v>-0.1146456874603218</v>
      </c>
      <c r="X9" s="18">
        <f>+X5-X6-X8</f>
        <v>-6.8068150000000003</v>
      </c>
      <c r="Y9" s="18">
        <f>+Y5-Y6-Y8</f>
        <v>-60.679779999999937</v>
      </c>
      <c r="Z9" s="71">
        <f>+Y9/Y5</f>
        <v>-8.0984610946276223E-2</v>
      </c>
      <c r="AA9" s="18">
        <f>+AA5-AA6-AA8</f>
        <v>-4.3342699999999965</v>
      </c>
      <c r="AB9" s="18">
        <f>+AB5-AB6-AB8</f>
        <v>27.558180000000107</v>
      </c>
      <c r="AC9" s="61">
        <f>+AB9/$J$5</f>
        <v>3.2229301597771522E-2</v>
      </c>
      <c r="AD9" s="18">
        <f>+AD5-AD6-AD8</f>
        <v>1.9684414285714311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2.8649300000002995</v>
      </c>
      <c r="AQ9" s="71">
        <f>+AP9/$AP$5</f>
        <v>4.0272889355807008E-4</v>
      </c>
      <c r="AR9" s="18">
        <f>+AR5-AR6-AR8</f>
        <v>0.20463785714292726</v>
      </c>
      <c r="AS9" s="34">
        <f t="shared" si="0"/>
        <v>0.31832555555558883</v>
      </c>
      <c r="AT9" s="64"/>
      <c r="AU9" s="18">
        <f>+AU5-AU6-AU8</f>
        <v>2.2737539682537999E-2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1.2142857142857142</v>
      </c>
      <c r="G11" s="37">
        <v>17</v>
      </c>
      <c r="H11" s="64"/>
      <c r="I11" s="94">
        <f>+G11/I4</f>
        <v>1.2142857142857142</v>
      </c>
      <c r="J11" s="37">
        <v>17</v>
      </c>
      <c r="K11" s="64"/>
      <c r="L11" s="94">
        <f>+J11/L4</f>
        <v>1.2142857142857142</v>
      </c>
      <c r="M11" s="37">
        <v>17</v>
      </c>
      <c r="N11" s="64"/>
      <c r="O11" s="94">
        <f>+M11/O4</f>
        <v>1.2142857142857142</v>
      </c>
      <c r="P11" s="37">
        <v>17</v>
      </c>
      <c r="Q11" s="64"/>
      <c r="R11" s="94">
        <f>+P11/R4</f>
        <v>1.2142857142857142</v>
      </c>
      <c r="S11" s="37">
        <v>17</v>
      </c>
      <c r="T11" s="64"/>
      <c r="U11" s="94">
        <f>+S11/U4</f>
        <v>1.2142857142857142</v>
      </c>
      <c r="V11" s="37">
        <v>17</v>
      </c>
      <c r="W11" s="64"/>
      <c r="X11" s="94">
        <f>+V11/X4</f>
        <v>1.2142857142857142</v>
      </c>
      <c r="Y11" s="37">
        <v>17</v>
      </c>
      <c r="Z11" s="73"/>
      <c r="AA11" s="94">
        <f>+Y11/AA4</f>
        <v>1.2142857142857142</v>
      </c>
      <c r="AB11" s="37">
        <v>17</v>
      </c>
      <c r="AC11" s="64"/>
      <c r="AD11" s="94">
        <f>+AB11/AD4</f>
        <v>1.2142857142857142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153</v>
      </c>
      <c r="AQ11" s="64"/>
      <c r="AR11" s="94">
        <f>+AP11/AR4</f>
        <v>10.928571428571429</v>
      </c>
      <c r="AS11" s="33">
        <f>+AP11/AS4</f>
        <v>17</v>
      </c>
      <c r="AT11" s="64"/>
      <c r="AU11" s="94">
        <f>+AS11/AU4</f>
        <v>1.2142857142857142</v>
      </c>
    </row>
    <row r="12" spans="2:47">
      <c r="B12" s="20" t="s">
        <v>13</v>
      </c>
      <c r="C12" s="19"/>
      <c r="D12" s="37">
        <v>496.44024000000002</v>
      </c>
      <c r="E12" s="64"/>
      <c r="F12" s="94">
        <f>+D12/F4</f>
        <v>35.460017142857147</v>
      </c>
      <c r="G12" s="37">
        <v>480.65498000000002</v>
      </c>
      <c r="H12" s="64"/>
      <c r="I12" s="94">
        <f>+G12/I4</f>
        <v>34.332498571428573</v>
      </c>
      <c r="J12" s="37">
        <v>498.50900000000001</v>
      </c>
      <c r="K12" s="64"/>
      <c r="L12" s="94">
        <f>+J12/L4</f>
        <v>35.607785714285718</v>
      </c>
      <c r="M12" s="37">
        <v>481.42412000000002</v>
      </c>
      <c r="N12" s="64"/>
      <c r="O12" s="94">
        <f>+M12/O4</f>
        <v>34.387437142857145</v>
      </c>
      <c r="P12" s="37">
        <v>480.46699999999998</v>
      </c>
      <c r="Q12" s="64"/>
      <c r="R12" s="94">
        <f>+P12/R4</f>
        <v>34.319071428571426</v>
      </c>
      <c r="S12" s="37">
        <v>474.40483</v>
      </c>
      <c r="T12" s="64"/>
      <c r="U12" s="94">
        <f>+S12/U4</f>
        <v>33.886059285714289</v>
      </c>
      <c r="V12" s="37">
        <v>622.01800000000003</v>
      </c>
      <c r="W12" s="64"/>
      <c r="X12" s="94">
        <f>+V12/X4</f>
        <v>44.429857142857145</v>
      </c>
      <c r="Y12" s="37">
        <v>499.11545999999998</v>
      </c>
      <c r="Z12" s="73"/>
      <c r="AA12" s="94">
        <f>+Y12/AA4</f>
        <v>35.651104285714283</v>
      </c>
      <c r="AB12" s="37">
        <v>483.75560999999999</v>
      </c>
      <c r="AC12" s="64"/>
      <c r="AD12" s="94">
        <f>+AB12/AD4</f>
        <v>34.553972142857141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4516.7892400000001</v>
      </c>
      <c r="AQ12" s="64"/>
      <c r="AR12" s="94">
        <f>+AP12/AR4</f>
        <v>322.62780285714285</v>
      </c>
      <c r="AS12" s="16">
        <f t="shared" ref="AS12" si="1">+AP12/$AS$4</f>
        <v>501.86547111111111</v>
      </c>
      <c r="AT12" s="64"/>
      <c r="AU12" s="94">
        <f>+AS12/AU4</f>
        <v>35.84753365079365</v>
      </c>
    </row>
    <row r="13" spans="2:47">
      <c r="B13" s="21" t="s">
        <v>16</v>
      </c>
      <c r="C13" s="19"/>
      <c r="D13" s="38">
        <f>+D12/D5</f>
        <v>0.61103859069194111</v>
      </c>
      <c r="E13" s="64"/>
      <c r="F13" s="38"/>
      <c r="G13" s="38">
        <f>+G12/G5</f>
        <v>0.64270286749613903</v>
      </c>
      <c r="H13" s="64"/>
      <c r="I13" s="38"/>
      <c r="J13" s="38">
        <f>+J12/J5</f>
        <v>0.58300645798102135</v>
      </c>
      <c r="K13" s="64"/>
      <c r="L13" s="38"/>
      <c r="M13" s="38">
        <f>+M12/M5</f>
        <v>0.59597977682207914</v>
      </c>
      <c r="N13" s="64"/>
      <c r="O13" s="38"/>
      <c r="P13" s="38">
        <f>+P12/P5</f>
        <v>0.60130512824604265</v>
      </c>
      <c r="Q13" s="64"/>
      <c r="R13" s="38"/>
      <c r="S13" s="38">
        <f>+S12/S5</f>
        <v>0.67247968689755278</v>
      </c>
      <c r="T13" s="64"/>
      <c r="U13" s="38"/>
      <c r="V13" s="38">
        <f>+V12/V5</f>
        <v>0.74832230873128525</v>
      </c>
      <c r="W13" s="64"/>
      <c r="X13" s="38"/>
      <c r="Y13" s="38">
        <f>+Y12/Y5</f>
        <v>0.66613081565839127</v>
      </c>
      <c r="Z13" s="73"/>
      <c r="AA13" s="38"/>
      <c r="AB13" s="38">
        <f>+AB12/AB5</f>
        <v>0.60046537481861495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0.63493402388889297</v>
      </c>
      <c r="AQ13" s="64"/>
      <c r="AR13" s="38"/>
      <c r="AS13" s="40">
        <f>+AS12/AS5</f>
        <v>0.63493402388889297</v>
      </c>
      <c r="AT13" s="64"/>
      <c r="AU13" s="38"/>
    </row>
    <row r="14" spans="2:47">
      <c r="B14" s="21" t="s">
        <v>14</v>
      </c>
      <c r="C14" s="19"/>
      <c r="D14" s="8">
        <f>+D5/D11</f>
        <v>47.791362941176473</v>
      </c>
      <c r="E14" s="64"/>
      <c r="F14" s="8"/>
      <c r="G14" s="8">
        <f>+G5/G11</f>
        <v>43.992058823529412</v>
      </c>
      <c r="H14" s="64"/>
      <c r="I14" s="8"/>
      <c r="J14" s="8">
        <f>+J5/J11</f>
        <v>50.298000000000002</v>
      </c>
      <c r="K14" s="64"/>
      <c r="L14" s="8"/>
      <c r="M14" s="8">
        <f>+M5/M11</f>
        <v>47.516823529411766</v>
      </c>
      <c r="N14" s="64"/>
      <c r="O14" s="8"/>
      <c r="P14" s="8">
        <f>+P5/P11</f>
        <v>47.002367647058826</v>
      </c>
      <c r="Q14" s="64"/>
      <c r="R14" s="8"/>
      <c r="S14" s="8">
        <f>+S5/S11</f>
        <v>41.49741176470588</v>
      </c>
      <c r="T14" s="64"/>
      <c r="U14" s="8"/>
      <c r="V14" s="8">
        <f>+V5/V11</f>
        <v>48.895099999999999</v>
      </c>
      <c r="W14" s="64"/>
      <c r="X14" s="8"/>
      <c r="Y14" s="8">
        <f>+Y5/Y11</f>
        <v>44.075025882352939</v>
      </c>
      <c r="Z14" s="73"/>
      <c r="AA14" s="8"/>
      <c r="AB14" s="8">
        <f>+AB5/AB11</f>
        <v>47.390263529411769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46.495379346405223</v>
      </c>
      <c r="AQ14" s="64"/>
      <c r="AR14" s="8"/>
      <c r="AS14" s="41">
        <f>+AS5/AS11</f>
        <v>46.495379346405223</v>
      </c>
      <c r="AT14" s="64"/>
      <c r="AU14" s="8"/>
    </row>
    <row r="15" spans="2:47">
      <c r="B15" s="10" t="s">
        <v>41</v>
      </c>
      <c r="C15" s="19"/>
      <c r="D15" s="8">
        <f>+D12/D11</f>
        <v>29.20236705882353</v>
      </c>
      <c r="E15" s="64"/>
      <c r="F15" s="8"/>
      <c r="G15" s="8">
        <f>+G12/G11</f>
        <v>28.273822352941178</v>
      </c>
      <c r="H15" s="64"/>
      <c r="I15" s="8"/>
      <c r="J15" s="8">
        <f>+J12/J11</f>
        <v>29.324058823529413</v>
      </c>
      <c r="K15" s="64"/>
      <c r="L15" s="8"/>
      <c r="M15" s="8">
        <f>+M12/M11</f>
        <v>28.319065882352941</v>
      </c>
      <c r="N15" s="64"/>
      <c r="O15" s="8"/>
      <c r="P15" s="8">
        <f>+P12/P11</f>
        <v>28.262764705882351</v>
      </c>
      <c r="Q15" s="64"/>
      <c r="R15" s="8"/>
      <c r="S15" s="8">
        <f>+S12/S11</f>
        <v>27.906166470588236</v>
      </c>
      <c r="T15" s="64"/>
      <c r="U15" s="8"/>
      <c r="V15" s="8">
        <f>+V12/V11</f>
        <v>36.589294117647057</v>
      </c>
      <c r="W15" s="64"/>
      <c r="X15" s="8"/>
      <c r="Y15" s="8">
        <f>+Y12/Y11</f>
        <v>29.359732941176471</v>
      </c>
      <c r="Z15" s="73"/>
      <c r="AA15" s="8"/>
      <c r="AB15" s="8">
        <f>+AB12/AB11</f>
        <v>28.456212352941176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29.521498300653594</v>
      </c>
      <c r="AQ15" s="64"/>
      <c r="AR15" s="8"/>
      <c r="AS15" s="41">
        <f>+AS12/AS11</f>
        <v>29.521498300653594</v>
      </c>
      <c r="AT15" s="64"/>
      <c r="AU15" s="8"/>
    </row>
    <row r="16" spans="2:47">
      <c r="B16" s="21" t="s">
        <v>17</v>
      </c>
      <c r="C16" s="19"/>
      <c r="D16" s="38">
        <f>+D12/D7</f>
        <v>0.66411198696005957</v>
      </c>
      <c r="E16" s="64"/>
      <c r="F16" s="38"/>
      <c r="G16" s="38">
        <f>+G12/G7</f>
        <v>0.70776878074782834</v>
      </c>
      <c r="H16" s="64"/>
      <c r="I16" s="38"/>
      <c r="J16" s="38">
        <f>+J12/J7</f>
        <v>0.69095680418413152</v>
      </c>
      <c r="K16" s="64"/>
      <c r="L16" s="38"/>
      <c r="M16" s="38">
        <f>+M12/M7</f>
        <v>0.67650779272918438</v>
      </c>
      <c r="N16" s="64"/>
      <c r="O16" s="38"/>
      <c r="P16" s="38">
        <f>+P12/P7</f>
        <v>0.69596693140575627</v>
      </c>
      <c r="Q16" s="64"/>
      <c r="R16" s="38"/>
      <c r="S16" s="38">
        <f>+S12/S7</f>
        <v>0.86394057824753445</v>
      </c>
      <c r="T16" s="64"/>
      <c r="U16" s="38"/>
      <c r="V16" s="38">
        <f>+V12/V7</f>
        <v>0.8984251568287891</v>
      </c>
      <c r="W16" s="64"/>
      <c r="X16" s="38"/>
      <c r="Y16" s="38">
        <f>+Y12/Y7</f>
        <v>0.80620314937357396</v>
      </c>
      <c r="Z16" s="73"/>
      <c r="AA16" s="38"/>
      <c r="AB16" s="38">
        <f>+AB12/AB7</f>
        <v>0.65505854103966266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0.73453872355225991</v>
      </c>
      <c r="AQ16" s="64"/>
      <c r="AR16" s="38"/>
      <c r="AS16" s="40">
        <f>+AS12/AS7</f>
        <v>0.73453872355225991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12496</v>
      </c>
      <c r="E18" s="65">
        <v>12496</v>
      </c>
      <c r="F18" s="80">
        <f>+D18/F4</f>
        <v>892.57142857142856</v>
      </c>
      <c r="G18" s="11">
        <v>10599</v>
      </c>
      <c r="H18" s="65">
        <v>10599</v>
      </c>
      <c r="I18" s="80">
        <f>+G18/I4</f>
        <v>757.07142857142856</v>
      </c>
      <c r="J18" s="11">
        <v>11509</v>
      </c>
      <c r="K18" s="65">
        <v>11509</v>
      </c>
      <c r="L18" s="80">
        <f>+J18/L4</f>
        <v>822.07142857142856</v>
      </c>
      <c r="M18" s="11">
        <v>11291</v>
      </c>
      <c r="N18" s="65">
        <v>11291</v>
      </c>
      <c r="O18" s="80">
        <f>+M18/O4</f>
        <v>806.5</v>
      </c>
      <c r="P18" s="11">
        <v>11467</v>
      </c>
      <c r="Q18" s="65">
        <v>11467</v>
      </c>
      <c r="R18" s="80">
        <f>+P18/R4</f>
        <v>819.07142857142856</v>
      </c>
      <c r="S18" s="11">
        <v>11101</v>
      </c>
      <c r="T18" s="65">
        <v>11101</v>
      </c>
      <c r="U18" s="80">
        <f>+S18/U4</f>
        <v>792.92857142857144</v>
      </c>
      <c r="V18" s="11">
        <v>11617</v>
      </c>
      <c r="W18" s="65">
        <v>11617</v>
      </c>
      <c r="X18" s="80">
        <f>+V18/X4</f>
        <v>829.78571428571433</v>
      </c>
      <c r="Y18" s="11">
        <v>10645</v>
      </c>
      <c r="Z18" s="65">
        <v>10645</v>
      </c>
      <c r="AA18" s="80">
        <f>+Y18/AA4</f>
        <v>760.35714285714289</v>
      </c>
      <c r="AB18" s="11">
        <v>11541</v>
      </c>
      <c r="AC18" s="65">
        <v>11541</v>
      </c>
      <c r="AD18" s="80">
        <f>+AB18/AD4</f>
        <v>824.35714285714289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102266</v>
      </c>
      <c r="AQ18" s="27">
        <f t="shared" si="2"/>
        <v>102266</v>
      </c>
      <c r="AR18" s="80">
        <f>+AP18/AR4</f>
        <v>7304.7142857142853</v>
      </c>
      <c r="AS18" s="16">
        <f t="shared" ref="AS18:AT20" si="3">+AP18/$AS$4</f>
        <v>11362.888888888889</v>
      </c>
      <c r="AT18" s="80">
        <f t="shared" si="3"/>
        <v>11362.888888888889</v>
      </c>
      <c r="AU18" s="80">
        <f>+AS18/AU4</f>
        <v>811.6349206349206</v>
      </c>
    </row>
    <row r="19" spans="2:47">
      <c r="B19" s="20" t="s">
        <v>28</v>
      </c>
      <c r="C19" s="19"/>
      <c r="D19" s="11">
        <f>1472+125</f>
        <v>1597</v>
      </c>
      <c r="E19" s="65">
        <f>1472+125</f>
        <v>1597</v>
      </c>
      <c r="F19" s="80">
        <f>+D19/F4</f>
        <v>114.07142857142857</v>
      </c>
      <c r="G19" s="11">
        <v>1427.26</v>
      </c>
      <c r="H19" s="65">
        <v>1427.26</v>
      </c>
      <c r="I19" s="80">
        <f>+G19/I4</f>
        <v>101.94714285714285</v>
      </c>
      <c r="J19" s="11">
        <v>1663.49</v>
      </c>
      <c r="K19" s="65">
        <v>1663.49</v>
      </c>
      <c r="L19" s="80">
        <f>+J19/L4</f>
        <v>118.82071428571429</v>
      </c>
      <c r="M19" s="11">
        <v>1553.61</v>
      </c>
      <c r="N19" s="65">
        <v>1553.61</v>
      </c>
      <c r="O19" s="80">
        <f>+M19/O4</f>
        <v>110.97214285714286</v>
      </c>
      <c r="P19" s="11">
        <v>1566.26</v>
      </c>
      <c r="Q19" s="11">
        <v>1566.26</v>
      </c>
      <c r="R19" s="80">
        <f>+P19/R4</f>
        <v>111.87571428571428</v>
      </c>
      <c r="S19" s="11">
        <v>1564.08</v>
      </c>
      <c r="T19" s="11">
        <v>1564.08</v>
      </c>
      <c r="U19" s="80">
        <f>+S19/U4</f>
        <v>111.72</v>
      </c>
      <c r="V19" s="11">
        <v>1599.26</v>
      </c>
      <c r="W19" s="65">
        <v>1599.26</v>
      </c>
      <c r="X19" s="80">
        <f>+V19/X4</f>
        <v>114.23285714285714</v>
      </c>
      <c r="Y19" s="11">
        <v>1583.24</v>
      </c>
      <c r="Z19" s="65">
        <v>1583.24</v>
      </c>
      <c r="AA19" s="80">
        <f>+Y19/AA4</f>
        <v>113.08857142857143</v>
      </c>
      <c r="AB19" s="11">
        <f>1613.56-75.1</f>
        <v>1538.46</v>
      </c>
      <c r="AC19" s="65">
        <f>1613.56-75.1</f>
        <v>1538.46</v>
      </c>
      <c r="AD19" s="80">
        <f>+AB19/AD4</f>
        <v>109.89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14092.66</v>
      </c>
      <c r="AQ19" s="27">
        <f t="shared" si="2"/>
        <v>14092.66</v>
      </c>
      <c r="AR19" s="80">
        <f>+AP19/AR4</f>
        <v>1006.6185714285714</v>
      </c>
      <c r="AS19" s="16">
        <f t="shared" si="3"/>
        <v>1565.8511111111111</v>
      </c>
      <c r="AT19" s="80">
        <f t="shared" si="3"/>
        <v>1565.8511111111111</v>
      </c>
      <c r="AU19" s="80">
        <f>+AS19/AU4</f>
        <v>111.84650793650793</v>
      </c>
    </row>
    <row r="20" spans="2:47">
      <c r="B20" s="20" t="s">
        <v>29</v>
      </c>
      <c r="C20" s="19"/>
      <c r="D20" s="11">
        <f>8.53887+55.44289-11.9566</f>
        <v>52.025159999999993</v>
      </c>
      <c r="E20" s="66">
        <f>54.724+4.576</f>
        <v>59.3</v>
      </c>
      <c r="F20" s="80">
        <f>+D20/F4</f>
        <v>3.7160828571428568</v>
      </c>
      <c r="G20" s="11">
        <f>4.1002+52.316-3.7953</f>
        <v>52.620900000000006</v>
      </c>
      <c r="H20" s="66">
        <v>52.601999999999997</v>
      </c>
      <c r="I20" s="80">
        <f>+G20/I4</f>
        <v>3.7586357142857145</v>
      </c>
      <c r="J20" s="11">
        <f>5.4124+55.6818-0.5389</f>
        <v>60.555300000000003</v>
      </c>
      <c r="K20" s="66">
        <v>60.555329999999998</v>
      </c>
      <c r="L20" s="80">
        <f>+J20/L4</f>
        <v>4.3253785714285717</v>
      </c>
      <c r="M20" s="11">
        <f>3.5257+52.62044-0.3554</f>
        <v>55.79074</v>
      </c>
      <c r="N20" s="66">
        <v>55.790730000000003</v>
      </c>
      <c r="O20" s="80">
        <f>+M20/O4</f>
        <v>3.9850528571428572</v>
      </c>
      <c r="P20" s="11">
        <f>4.1752+52.8475-0.3624</f>
        <v>56.660299999999999</v>
      </c>
      <c r="Q20" s="66">
        <v>56.660299999999999</v>
      </c>
      <c r="R20" s="80">
        <f>+P20/R4</f>
        <v>4.0471642857142855</v>
      </c>
      <c r="S20" s="11">
        <f>53.2207+3.9131-0.35899</f>
        <v>56.774810000000002</v>
      </c>
      <c r="T20" s="66">
        <v>56.774769999999997</v>
      </c>
      <c r="U20" s="80">
        <f>+S20/U4</f>
        <v>4.0553435714285717</v>
      </c>
      <c r="V20" s="11">
        <f>3.971+54.26371-0.3561</f>
        <v>57.878610000000009</v>
      </c>
      <c r="W20" s="66">
        <v>57.879019999999997</v>
      </c>
      <c r="X20" s="80">
        <f>+V20/X4</f>
        <v>4.1341864285714296</v>
      </c>
      <c r="Y20" s="11">
        <f>3.9948+53.5466-0.5325</f>
        <v>57.008899999999997</v>
      </c>
      <c r="Z20" s="66">
        <v>57.008000000000003</v>
      </c>
      <c r="AA20" s="80">
        <f>+Y20/AA4</f>
        <v>4.0720642857142852</v>
      </c>
      <c r="AB20" s="11">
        <f>4.1032+54.2971-2.76821</f>
        <v>55.632090000000005</v>
      </c>
      <c r="AC20" s="66">
        <f>58.40032-2.76821</f>
        <v>55.632109999999997</v>
      </c>
      <c r="AD20" s="80">
        <f>+AB20/AD4</f>
        <v>3.9737207142857147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504.94680999999997</v>
      </c>
      <c r="AQ20" s="27">
        <f t="shared" si="2"/>
        <v>512.20225999999991</v>
      </c>
      <c r="AR20" s="80">
        <f>+AP20/AR4</f>
        <v>36.067629285714283</v>
      </c>
      <c r="AS20" s="16">
        <f t="shared" si="3"/>
        <v>56.105201111111107</v>
      </c>
      <c r="AT20" s="80">
        <f t="shared" si="3"/>
        <v>56.911362222222209</v>
      </c>
      <c r="AU20" s="80">
        <f>+AS20/AU4</f>
        <v>4.0075143650793645</v>
      </c>
    </row>
    <row r="21" spans="2:47">
      <c r="B21" s="21" t="s">
        <v>30</v>
      </c>
      <c r="C21" s="19"/>
      <c r="D21" s="50">
        <f t="shared" ref="D21:E21" si="4">+D20/D19*1000</f>
        <v>32.576806512210389</v>
      </c>
      <c r="E21" s="67">
        <f t="shared" si="4"/>
        <v>37.132122730118972</v>
      </c>
      <c r="F21" s="67"/>
      <c r="G21" s="50">
        <f t="shared" ref="G21:H21" si="5">+G20/G19*1000</f>
        <v>36.868475260288946</v>
      </c>
      <c r="H21" s="67">
        <f t="shared" si="5"/>
        <v>36.855233103989455</v>
      </c>
      <c r="I21" s="67"/>
      <c r="J21" s="50">
        <f t="shared" ref="J21:K21" si="6">+J20/J19*1000</f>
        <v>36.402563285622399</v>
      </c>
      <c r="K21" s="67">
        <f t="shared" si="6"/>
        <v>36.40258131999591</v>
      </c>
      <c r="L21" s="67"/>
      <c r="M21" s="50">
        <f t="shared" ref="M21:N21" si="7">+M20/M19*1000</f>
        <v>35.910389351252888</v>
      </c>
      <c r="N21" s="67">
        <f t="shared" si="7"/>
        <v>35.910382914631093</v>
      </c>
      <c r="O21" s="67"/>
      <c r="P21" s="50">
        <f t="shared" ref="P21:Q21" si="8">+P20/P19*1000</f>
        <v>36.175539182511208</v>
      </c>
      <c r="Q21" s="67">
        <f t="shared" si="8"/>
        <v>36.175539182511208</v>
      </c>
      <c r="R21" s="67"/>
      <c r="S21" s="50">
        <f t="shared" ref="S21:T21" si="9">+S20/S19*1000</f>
        <v>36.299172676589436</v>
      </c>
      <c r="T21" s="67">
        <f t="shared" si="9"/>
        <v>36.299147102450007</v>
      </c>
      <c r="U21" s="67"/>
      <c r="V21" s="50">
        <f t="shared" ref="V21:AC21" si="10">+V20/V19*1000</f>
        <v>36.190869527156309</v>
      </c>
      <c r="W21" s="67">
        <f t="shared" si="10"/>
        <v>36.191125895726778</v>
      </c>
      <c r="X21" s="67"/>
      <c r="Y21" s="50">
        <f t="shared" ref="Y21" si="11">+Y20/Y19*1000</f>
        <v>36.007743614360429</v>
      </c>
      <c r="Z21" s="75">
        <f t="shared" si="10"/>
        <v>36.007175159798891</v>
      </c>
      <c r="AA21" s="75"/>
      <c r="AB21" s="50">
        <f t="shared" ref="AB21:AD21" si="12">+AB20/AB19*1000</f>
        <v>36.160894660894662</v>
      </c>
      <c r="AC21" s="67">
        <f t="shared" si="12"/>
        <v>36.160907660907661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35.830482676797708</v>
      </c>
      <c r="AQ21" s="75">
        <f>+AQ20/AQ19*1000</f>
        <v>36.345321607134487</v>
      </c>
      <c r="AR21" s="75"/>
      <c r="AS21" s="51">
        <f>+AS20/AS19*1000</f>
        <v>35.830482676797708</v>
      </c>
      <c r="AT21" s="75">
        <f>+AT20/AT19*1000</f>
        <v>36.345321607134487</v>
      </c>
    </row>
    <row r="22" spans="2:47">
      <c r="B22" s="21" t="s">
        <v>31</v>
      </c>
      <c r="C22" s="19"/>
      <c r="D22" s="52">
        <f>+D19/D18</f>
        <v>0.12780089628681177</v>
      </c>
      <c r="E22" s="52">
        <f>+E19/E18</f>
        <v>0.12780089628681177</v>
      </c>
      <c r="F22" s="52"/>
      <c r="G22" s="52">
        <f>+G19/G18</f>
        <v>0.13465987357297859</v>
      </c>
      <c r="H22" s="52">
        <f>+H19/H18</f>
        <v>0.13465987357297859</v>
      </c>
      <c r="I22" s="52"/>
      <c r="J22" s="52">
        <f>+J19/J18</f>
        <v>0.14453818750543054</v>
      </c>
      <c r="K22" s="52">
        <f>+K19/K18</f>
        <v>0.14453818750543054</v>
      </c>
      <c r="L22" s="52"/>
      <c r="M22" s="52">
        <f>+M19/M18</f>
        <v>0.13759720131077849</v>
      </c>
      <c r="N22" s="52">
        <f>+N19/N18</f>
        <v>0.13759720131077849</v>
      </c>
      <c r="O22" s="52"/>
      <c r="P22" s="52">
        <f>+P19/P18</f>
        <v>0.13658847126537019</v>
      </c>
      <c r="Q22" s="52">
        <f>+Q19/Q18</f>
        <v>0.13658847126537019</v>
      </c>
      <c r="R22" s="52"/>
      <c r="S22" s="52">
        <f>+S19/S18</f>
        <v>0.14089541482749302</v>
      </c>
      <c r="T22" s="52">
        <f>+T19/T18</f>
        <v>0.14089541482749302</v>
      </c>
      <c r="U22" s="52"/>
      <c r="V22" s="52">
        <f>+V19/V18</f>
        <v>0.1376654902298356</v>
      </c>
      <c r="W22" s="52">
        <f>+W19/W18</f>
        <v>0.1376654902298356</v>
      </c>
      <c r="X22" s="52"/>
      <c r="Y22" s="52">
        <f>+Y19/Y18</f>
        <v>0.14873085955847817</v>
      </c>
      <c r="Z22" s="52">
        <f>+Z19/Z18</f>
        <v>0.14873085955847817</v>
      </c>
      <c r="AA22" s="76"/>
      <c r="AB22" s="52">
        <f>+AB19/AB18</f>
        <v>0.13330387314790745</v>
      </c>
      <c r="AC22" s="52">
        <f>+AC19/AC18</f>
        <v>0.13330387314790745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0.13780396221618132</v>
      </c>
      <c r="AQ22" s="52">
        <f>+AQ19/AQ18</f>
        <v>0.13780396221618132</v>
      </c>
      <c r="AR22" s="76"/>
      <c r="AS22" s="52">
        <f>+AS19/AS18</f>
        <v>0.13780396221618132</v>
      </c>
      <c r="AT22" s="52">
        <f>+AT19/AT18</f>
        <v>0.13780396221618132</v>
      </c>
    </row>
    <row r="23" spans="2:47">
      <c r="B23" s="10" t="s">
        <v>26</v>
      </c>
      <c r="C23" s="10"/>
      <c r="D23" s="54">
        <f>+D20*1000/(D18*D21)*100</f>
        <v>12.780089628681177</v>
      </c>
      <c r="E23" s="54">
        <f>+E20*1000/(E18*E21)*100</f>
        <v>12.780089628681178</v>
      </c>
      <c r="F23" s="54"/>
      <c r="G23" s="54">
        <f>+G20*1000/(G18*G21)*100</f>
        <v>13.465987357297859</v>
      </c>
      <c r="H23" s="54">
        <f>+H20*1000/(H18*H21)*100</f>
        <v>13.465987357297859</v>
      </c>
      <c r="I23" s="54"/>
      <c r="J23" s="54">
        <f>+J20*1000/(J18*J21)*100</f>
        <v>14.453818750543052</v>
      </c>
      <c r="K23" s="54">
        <f>+K20*1000/(K18*K21)*100</f>
        <v>14.453818750543052</v>
      </c>
      <c r="L23" s="54"/>
      <c r="M23" s="54">
        <f>+M20*1000/(M18*M21)*100</f>
        <v>13.759720131077849</v>
      </c>
      <c r="N23" s="54">
        <f>+N20*1000/(N18*N21)*100</f>
        <v>13.759720131077845</v>
      </c>
      <c r="O23" s="54"/>
      <c r="P23" s="54">
        <f>+P20*1000/(P18*P21)*100</f>
        <v>13.658847126537019</v>
      </c>
      <c r="Q23" s="54">
        <f>+Q20*1000/(Q18*Q21)*100</f>
        <v>13.658847126537019</v>
      </c>
      <c r="R23" s="54"/>
      <c r="S23" s="54">
        <f>+S20*1000/(S18*S21)*100</f>
        <v>14.089541482749301</v>
      </c>
      <c r="T23" s="54">
        <f>+T20*1000/(T18*T21)*100</f>
        <v>14.089541482749299</v>
      </c>
      <c r="U23" s="54"/>
      <c r="V23" s="54">
        <f>+V20*1000/(V18*V21)*100</f>
        <v>13.766549022983559</v>
      </c>
      <c r="W23" s="54">
        <f>+W20*1000/(W18*W21)*100</f>
        <v>13.766549022983558</v>
      </c>
      <c r="X23" s="54"/>
      <c r="Y23" s="54">
        <f>+Y20*1000/(Y18*Y21)*100</f>
        <v>14.873085955847811</v>
      </c>
      <c r="Z23" s="54">
        <f>+Z20*1000/(Z18*Z21)*100</f>
        <v>14.873085955847817</v>
      </c>
      <c r="AA23" s="77"/>
      <c r="AB23" s="54">
        <f>+AB20*1000/(AB18*AB21)*100</f>
        <v>13.330387314790748</v>
      </c>
      <c r="AC23" s="54">
        <f>+AC20*1000/(AC18*AC21)*100</f>
        <v>13.330387314790745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13.780396221618133</v>
      </c>
      <c r="AQ23" s="54">
        <f>+AQ20*1000/(AQ18*AQ21)*100</f>
        <v>13.780396221618133</v>
      </c>
      <c r="AR23" s="77"/>
      <c r="AS23" s="54">
        <f>+AS20*1000/(AS18*AS21)*100</f>
        <v>13.780396221618133</v>
      </c>
      <c r="AT23" s="54">
        <f>+AT20*1000/(AT18*AT21)*100</f>
        <v>13.780396221618133</v>
      </c>
    </row>
    <row r="24" spans="2:47">
      <c r="B24" s="21" t="s">
        <v>44</v>
      </c>
      <c r="C24" s="10"/>
      <c r="D24" s="54">
        <f>+D20/D18*1000</f>
        <v>4.163345070422535</v>
      </c>
      <c r="E24" s="54">
        <f>+E20/E18*1000</f>
        <v>4.7455185659411008</v>
      </c>
      <c r="F24" s="81"/>
      <c r="G24" s="54">
        <f>+G20/G18*1000</f>
        <v>4.9647042173789986</v>
      </c>
      <c r="H24" s="54">
        <f>+H20/H18*1000</f>
        <v>4.9629210302858757</v>
      </c>
      <c r="I24" s="81"/>
      <c r="J24" s="54">
        <f>+J20/J18*1000</f>
        <v>5.2615605178555906</v>
      </c>
      <c r="K24" s="54">
        <f>+K20/K18*1000</f>
        <v>5.2615631245112517</v>
      </c>
      <c r="L24" s="81"/>
      <c r="M24" s="54">
        <f>+M20/M18*1000</f>
        <v>4.9411690727127802</v>
      </c>
      <c r="N24" s="54">
        <f>+N20/N18*1000</f>
        <v>4.9411681870516349</v>
      </c>
      <c r="O24" s="81"/>
      <c r="P24" s="54">
        <f>+P20/P18*1000</f>
        <v>4.9411615941397047</v>
      </c>
      <c r="Q24" s="54">
        <f>+Q20/Q18*1000</f>
        <v>4.9411615941397047</v>
      </c>
      <c r="R24" s="81"/>
      <c r="S24" s="54">
        <f>+S20/S18*1000</f>
        <v>5.1143869921628689</v>
      </c>
      <c r="T24" s="54">
        <f>+T20/T18*1000</f>
        <v>5.1143833888838843</v>
      </c>
      <c r="U24" s="81"/>
      <c r="V24" s="54">
        <f>+V20/V18*1000</f>
        <v>4.9822337952999929</v>
      </c>
      <c r="W24" s="54">
        <f>+W20/W18*1000</f>
        <v>4.982269088404923</v>
      </c>
      <c r="X24" s="81"/>
      <c r="Y24" s="54">
        <f>+Y20/Y18*1000</f>
        <v>5.3554626585251288</v>
      </c>
      <c r="Z24" s="54">
        <f>+Z20/Z18*1000</f>
        <v>5.3553781117895722</v>
      </c>
      <c r="AA24" s="54"/>
      <c r="AB24" s="54">
        <f>+AB20/AB18*1000</f>
        <v>4.8203873147907466</v>
      </c>
      <c r="AC24" s="54">
        <f>+AC20/AC18*1000</f>
        <v>4.8203890477428297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4.9375824809809705</v>
      </c>
      <c r="AQ24" s="54">
        <f>+AQ20/AQ18*1000</f>
        <v>5.0085293254845196</v>
      </c>
      <c r="AR24" s="77"/>
      <c r="AS24" s="54">
        <f>+AS20/AS18*1000</f>
        <v>4.9375824809809705</v>
      </c>
      <c r="AT24" s="54">
        <f>+AT20/AT18*1000</f>
        <v>5.0085293254845196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4</v>
      </c>
      <c r="O26" s="95">
        <v>4</v>
      </c>
      <c r="R26" s="95">
        <v>4</v>
      </c>
      <c r="U26" s="95">
        <v>4</v>
      </c>
      <c r="X26" s="95">
        <v>4</v>
      </c>
      <c r="Z26" s="78"/>
      <c r="AA26" s="95">
        <v>4</v>
      </c>
      <c r="AD26" s="95">
        <v>4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7.1111111111111107</v>
      </c>
      <c r="AU26" s="20">
        <f>+AR26</f>
        <v>7.1111111111111107</v>
      </c>
    </row>
    <row r="27" spans="2:47" ht="15" customHeight="1">
      <c r="B27" s="20" t="s">
        <v>36</v>
      </c>
      <c r="D27" s="11">
        <f>5.36+8</f>
        <v>13.36</v>
      </c>
      <c r="E27" s="11"/>
      <c r="F27" s="11">
        <f>+D27/F26</f>
        <v>3.34</v>
      </c>
      <c r="G27" s="11">
        <v>9</v>
      </c>
      <c r="H27" s="11"/>
      <c r="I27" s="11">
        <f>+G27/I26</f>
        <v>2.25</v>
      </c>
      <c r="J27" s="11">
        <v>4</v>
      </c>
      <c r="K27" s="11"/>
      <c r="L27" s="11">
        <f>+J27/L26</f>
        <v>1</v>
      </c>
      <c r="M27" s="11">
        <v>2</v>
      </c>
      <c r="N27" s="11"/>
      <c r="O27" s="11">
        <f>+M27/O26</f>
        <v>0.5</v>
      </c>
      <c r="P27" s="11">
        <v>7</v>
      </c>
      <c r="Q27" s="11"/>
      <c r="R27" s="11">
        <f>+P27/R26</f>
        <v>1.75</v>
      </c>
      <c r="S27" s="11">
        <v>4</v>
      </c>
      <c r="T27" s="11"/>
      <c r="U27" s="11">
        <f>+S27/U26</f>
        <v>1</v>
      </c>
      <c r="V27" s="11">
        <v>6</v>
      </c>
      <c r="W27" s="11"/>
      <c r="X27" s="11">
        <f>+V27/X26</f>
        <v>1.5</v>
      </c>
      <c r="Y27" s="11">
        <v>3</v>
      </c>
      <c r="Z27" s="74"/>
      <c r="AA27" s="11">
        <f>+Y27/AA26</f>
        <v>0.75</v>
      </c>
      <c r="AB27" s="11">
        <v>8</v>
      </c>
      <c r="AC27" s="11"/>
      <c r="AD27" s="11">
        <f>+AB27/AD26</f>
        <v>2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56.36</v>
      </c>
      <c r="AR27" s="11">
        <f>+AP27/AR26</f>
        <v>7.9256250000000001</v>
      </c>
      <c r="AS27" s="16">
        <f t="shared" ref="AS27:AS31" si="17">+AP27/$AS$4</f>
        <v>6.2622222222222224</v>
      </c>
      <c r="AU27" s="11">
        <f>+AS27/AU26</f>
        <v>0.8806250000000001</v>
      </c>
    </row>
    <row r="28" spans="2:47" ht="15" customHeight="1">
      <c r="B28" s="20" t="s">
        <v>39</v>
      </c>
      <c r="D28" s="11">
        <v>704</v>
      </c>
      <c r="E28" s="11"/>
      <c r="F28" s="11">
        <f>+D28/F26</f>
        <v>176</v>
      </c>
      <c r="G28" s="11">
        <v>640</v>
      </c>
      <c r="H28" s="11"/>
      <c r="I28" s="11">
        <f>+G28/I26</f>
        <v>160</v>
      </c>
      <c r="J28" s="11">
        <v>672</v>
      </c>
      <c r="K28" s="11"/>
      <c r="L28" s="11">
        <f>+J28/L26</f>
        <v>168</v>
      </c>
      <c r="M28" s="11">
        <v>672</v>
      </c>
      <c r="N28" s="11"/>
      <c r="O28" s="11">
        <f>+M28/O26</f>
        <v>168</v>
      </c>
      <c r="P28" s="11">
        <v>640</v>
      </c>
      <c r="Q28" s="11"/>
      <c r="R28" s="11">
        <f>+P28/R26</f>
        <v>160</v>
      </c>
      <c r="S28" s="11">
        <v>672</v>
      </c>
      <c r="T28" s="11"/>
      <c r="U28" s="11">
        <f>+S28/U26</f>
        <v>168</v>
      </c>
      <c r="V28" s="11">
        <v>736</v>
      </c>
      <c r="W28" s="11"/>
      <c r="X28" s="11">
        <f>+V28/X26</f>
        <v>184</v>
      </c>
      <c r="Y28" s="11">
        <v>672</v>
      </c>
      <c r="Z28" s="74"/>
      <c r="AA28" s="11">
        <f>+Y28/AA26</f>
        <v>168</v>
      </c>
      <c r="AB28" s="11">
        <f>176*4</f>
        <v>704</v>
      </c>
      <c r="AC28" s="11"/>
      <c r="AD28" s="11">
        <f>+AB28/AD26</f>
        <v>176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6112</v>
      </c>
      <c r="AR28" s="11">
        <f>+AP28/AR26</f>
        <v>859.5</v>
      </c>
      <c r="AS28" s="16">
        <f t="shared" si="17"/>
        <v>679.11111111111109</v>
      </c>
      <c r="AU28" s="11">
        <f>+AS28/AU26</f>
        <v>95.5</v>
      </c>
    </row>
    <row r="29" spans="2:47" ht="15" customHeight="1">
      <c r="B29" s="21" t="s">
        <v>40</v>
      </c>
      <c r="D29" s="38">
        <f>+D27/D28</f>
        <v>1.8977272727272728E-2</v>
      </c>
      <c r="E29" s="8"/>
      <c r="F29" s="38">
        <f>+F27/F28</f>
        <v>1.8977272727272728E-2</v>
      </c>
      <c r="G29" s="38">
        <f>+G27/G28</f>
        <v>1.40625E-2</v>
      </c>
      <c r="H29" s="8"/>
      <c r="I29" s="38">
        <f>+I27/I28</f>
        <v>1.40625E-2</v>
      </c>
      <c r="J29" s="38">
        <f>+J27/J28</f>
        <v>5.9523809523809521E-3</v>
      </c>
      <c r="K29" s="8"/>
      <c r="L29" s="38">
        <f>+L27/L28</f>
        <v>5.9523809523809521E-3</v>
      </c>
      <c r="M29" s="38">
        <f>+M27/M28</f>
        <v>2.976190476190476E-3</v>
      </c>
      <c r="N29" s="8"/>
      <c r="O29" s="38">
        <f>+O27/O28</f>
        <v>2.976190476190476E-3</v>
      </c>
      <c r="P29" s="38">
        <f>+P27/P28</f>
        <v>1.0937499999999999E-2</v>
      </c>
      <c r="Q29" s="8"/>
      <c r="R29" s="38">
        <f>+R27/R28</f>
        <v>1.0937499999999999E-2</v>
      </c>
      <c r="S29" s="38">
        <f>+S27/S28</f>
        <v>5.9523809523809521E-3</v>
      </c>
      <c r="T29" s="8"/>
      <c r="U29" s="38">
        <f>+U27/U28</f>
        <v>5.9523809523809521E-3</v>
      </c>
      <c r="V29" s="38">
        <f>+V27/V28</f>
        <v>8.152173913043478E-3</v>
      </c>
      <c r="W29" s="8"/>
      <c r="X29" s="38">
        <f>+X27/X28</f>
        <v>8.152173913043478E-3</v>
      </c>
      <c r="Y29" s="38">
        <f>+Y27/Y28</f>
        <v>4.464285714285714E-3</v>
      </c>
      <c r="Z29" s="74"/>
      <c r="AA29" s="38">
        <f>+AA27/AA28</f>
        <v>4.464285714285714E-3</v>
      </c>
      <c r="AB29" s="38">
        <f>+AB27/AB28</f>
        <v>1.1363636363636364E-2</v>
      </c>
      <c r="AC29" s="8"/>
      <c r="AD29" s="38">
        <f>+AD27/AD28</f>
        <v>1.1363636363636364E-2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9.2212041884816749E-3</v>
      </c>
      <c r="AR29" s="38">
        <f>+AR27/AR28</f>
        <v>9.2212041884816749E-3</v>
      </c>
      <c r="AS29" s="38">
        <f>+AS27/AS28</f>
        <v>9.2212041884816767E-3</v>
      </c>
      <c r="AU29" s="38">
        <f>+AU27/AU28</f>
        <v>9.2212041884816767E-3</v>
      </c>
    </row>
    <row r="30" spans="2:47" ht="15" customHeight="1">
      <c r="B30" s="20" t="s">
        <v>32</v>
      </c>
      <c r="D30" s="11">
        <v>30.017199999999999</v>
      </c>
      <c r="E30" s="11"/>
      <c r="F30" s="11">
        <f>+D30/F26</f>
        <v>7.5042999999999997</v>
      </c>
      <c r="G30" s="11">
        <v>100.02</v>
      </c>
      <c r="H30" s="11"/>
      <c r="I30" s="11">
        <f>+G30/I26</f>
        <v>25.004999999999999</v>
      </c>
      <c r="J30" s="11">
        <v>15.01</v>
      </c>
      <c r="K30" s="11"/>
      <c r="L30" s="11">
        <f>+J30/L26</f>
        <v>3.7524999999999999</v>
      </c>
      <c r="M30" s="11">
        <v>10.01</v>
      </c>
      <c r="N30" s="11"/>
      <c r="O30" s="11">
        <f>+M30/O26</f>
        <v>2.5024999999999999</v>
      </c>
      <c r="P30" s="11">
        <v>10.01</v>
      </c>
      <c r="Q30" s="11"/>
      <c r="R30" s="11">
        <f>+P30/R26</f>
        <v>2.5024999999999999</v>
      </c>
      <c r="S30" s="11">
        <v>10</v>
      </c>
      <c r="T30" s="11"/>
      <c r="U30" s="11">
        <f>+S30/U26</f>
        <v>2.5</v>
      </c>
      <c r="V30" s="11">
        <v>10.029999999999999</v>
      </c>
      <c r="W30" s="11"/>
      <c r="X30" s="11">
        <f>+V30/X26</f>
        <v>2.5074999999999998</v>
      </c>
      <c r="Y30" s="11">
        <v>15</v>
      </c>
      <c r="Z30" s="74"/>
      <c r="AA30" s="11">
        <f>+Y30/AA26</f>
        <v>3.75</v>
      </c>
      <c r="AB30" s="11">
        <v>75.099999999999994</v>
      </c>
      <c r="AC30" s="11"/>
      <c r="AD30" s="11">
        <f>+AB30/AD26</f>
        <v>18.774999999999999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275.19720000000001</v>
      </c>
      <c r="AR30" s="11">
        <f>+AP30/AR26</f>
        <v>38.699606250000002</v>
      </c>
      <c r="AS30" s="16">
        <f t="shared" si="17"/>
        <v>30.577466666666666</v>
      </c>
      <c r="AU30" s="11">
        <f>+AS30/AU26</f>
        <v>4.2999562500000001</v>
      </c>
    </row>
    <row r="31" spans="2:47" ht="15" customHeight="1">
      <c r="B31" s="20" t="s">
        <v>33</v>
      </c>
      <c r="D31" s="11">
        <v>11.9566</v>
      </c>
      <c r="E31" s="27"/>
      <c r="F31" s="11">
        <f>+D31/F26</f>
        <v>2.98915</v>
      </c>
      <c r="G31" s="11">
        <v>3.7953000000000001</v>
      </c>
      <c r="H31" s="27"/>
      <c r="I31" s="11">
        <f>+G31/I26</f>
        <v>0.94882500000000003</v>
      </c>
      <c r="J31" s="11">
        <v>0.53890000000000005</v>
      </c>
      <c r="K31" s="27"/>
      <c r="L31" s="11">
        <f>+J31/L26</f>
        <v>0.13472500000000001</v>
      </c>
      <c r="M31" s="11">
        <v>0.35539999999999999</v>
      </c>
      <c r="N31" s="27"/>
      <c r="O31" s="11">
        <f>+M31/O26</f>
        <v>8.8849999999999998E-2</v>
      </c>
      <c r="P31" s="11">
        <v>0.3624</v>
      </c>
      <c r="Q31" s="27"/>
      <c r="R31" s="11">
        <f>+P31/R26</f>
        <v>9.06E-2</v>
      </c>
      <c r="S31" s="11">
        <v>0.35898999999999998</v>
      </c>
      <c r="T31" s="27"/>
      <c r="U31" s="11">
        <f>+S31/U26</f>
        <v>8.9747499999999994E-2</v>
      </c>
      <c r="V31" s="11">
        <v>0.35610000000000003</v>
      </c>
      <c r="W31" s="27"/>
      <c r="X31" s="11">
        <f>+V31/X26</f>
        <v>8.9025000000000007E-2</v>
      </c>
      <c r="Y31" s="11">
        <v>0.53249999999999997</v>
      </c>
      <c r="Z31" s="74"/>
      <c r="AA31" s="11">
        <f>+Y31/AA26</f>
        <v>0.13312499999999999</v>
      </c>
      <c r="AB31" s="11">
        <v>2.7682099999999998</v>
      </c>
      <c r="AC31" s="27"/>
      <c r="AD31" s="11">
        <f>+AB31/AD26</f>
        <v>0.69205249999999996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21.0244</v>
      </c>
      <c r="AR31" s="11">
        <f>+AP31/AR26</f>
        <v>2.9565562500000002</v>
      </c>
      <c r="AS31" s="16">
        <f t="shared" si="17"/>
        <v>2.3360444444444446</v>
      </c>
      <c r="AU31" s="11">
        <f>+AS31/AU26</f>
        <v>0.32850625000000006</v>
      </c>
    </row>
    <row r="32" spans="2:47" ht="15" customHeight="1">
      <c r="B32" s="21" t="s">
        <v>34</v>
      </c>
      <c r="D32" s="50">
        <f>+D31/D30*1000</f>
        <v>398.32496035606249</v>
      </c>
      <c r="G32" s="50">
        <f>+G31/G30*1000</f>
        <v>37.945410917816439</v>
      </c>
      <c r="J32" s="50">
        <f>+J31/J30*1000</f>
        <v>35.902731512325119</v>
      </c>
      <c r="M32" s="50">
        <f>+M31/M30*1000</f>
        <v>35.504495504495502</v>
      </c>
      <c r="P32" s="50">
        <f>+P31/P30*1000</f>
        <v>36.203796203796209</v>
      </c>
      <c r="S32" s="50">
        <f>+S31/S30*1000</f>
        <v>35.899000000000001</v>
      </c>
      <c r="V32" s="50">
        <f>+V31/V30*1000</f>
        <v>35.503489531405783</v>
      </c>
      <c r="Y32" s="50">
        <f>+Y31/Y30*1000</f>
        <v>35.5</v>
      </c>
      <c r="Z32" s="78"/>
      <c r="AA32" s="78"/>
      <c r="AB32" s="50">
        <f>+AB31/AB30*1000</f>
        <v>36.860319573901464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76.397579626536896</v>
      </c>
      <c r="AS32" s="50">
        <f>+AS31/AS30*1000</f>
        <v>76.397579626536896</v>
      </c>
    </row>
    <row r="33" spans="2:46" ht="15" customHeight="1">
      <c r="B33" s="21" t="s">
        <v>35</v>
      </c>
      <c r="D33" s="52">
        <f>+D30/D27</f>
        <v>2.2467964071856286</v>
      </c>
      <c r="G33" s="52">
        <f>+G30/G27</f>
        <v>11.113333333333333</v>
      </c>
      <c r="J33" s="52">
        <f>+J30/J27</f>
        <v>3.7524999999999999</v>
      </c>
      <c r="M33" s="52">
        <f>+M30/M27</f>
        <v>5.0049999999999999</v>
      </c>
      <c r="P33" s="52">
        <f>+P30/P27</f>
        <v>1.43</v>
      </c>
      <c r="S33" s="52">
        <f>+S30/S27</f>
        <v>2.5</v>
      </c>
      <c r="V33" s="52">
        <f>+V30/V27</f>
        <v>1.6716666666666666</v>
      </c>
      <c r="Y33" s="52">
        <f>+Y30/Y27</f>
        <v>5</v>
      </c>
      <c r="Z33" s="70"/>
      <c r="AA33" s="70"/>
      <c r="AB33" s="52">
        <f>+AB30/AB27</f>
        <v>9.3874999999999993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4.882845990063875</v>
      </c>
      <c r="AS33" s="52">
        <f>+AS30/AS27</f>
        <v>4.882845990063875</v>
      </c>
    </row>
    <row r="34" spans="2:46" ht="15" customHeight="1">
      <c r="B34" s="10" t="s">
        <v>37</v>
      </c>
      <c r="D34" s="54">
        <f>+D31*1000/(D27*D32)*100</f>
        <v>224.67964071856289</v>
      </c>
      <c r="G34" s="54">
        <f>+G31*1000/(G27*G32)*100</f>
        <v>1111.3333333333333</v>
      </c>
      <c r="J34" s="54">
        <f>+J31*1000/(J27*J32)*100</f>
        <v>375.25000000000006</v>
      </c>
      <c r="M34" s="54">
        <f>+M31*1000/(M27*M32)*100</f>
        <v>500.5</v>
      </c>
      <c r="P34" s="54">
        <f>+P31*1000/(P27*P32)*100</f>
        <v>142.99999999999997</v>
      </c>
      <c r="S34" s="54">
        <f>+S31*1000/(S27*S32)*100</f>
        <v>249.99999999999994</v>
      </c>
      <c r="V34" s="54">
        <f>+V31*1000/(V27*V32)*100</f>
        <v>167.16666666666669</v>
      </c>
      <c r="Y34" s="54">
        <f>+Y31*1000/(Y27*Y32)*100</f>
        <v>500</v>
      </c>
      <c r="Z34" s="70"/>
      <c r="AA34" s="70"/>
      <c r="AB34" s="54">
        <f>+AB31*1000/(AB27*AB32)*100</f>
        <v>938.75000000000011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488.28459900638757</v>
      </c>
      <c r="AS34" s="54">
        <f>+AS31*1000/(AS27*AS32)*100</f>
        <v>488.28459900638757</v>
      </c>
    </row>
    <row r="35" spans="2:46" ht="15" customHeight="1">
      <c r="B35" s="21" t="s">
        <v>45</v>
      </c>
      <c r="C35" s="10"/>
      <c r="D35" s="54">
        <f>+D31/D27*1000</f>
        <v>894.95508982035926</v>
      </c>
      <c r="E35" s="54"/>
      <c r="G35" s="54">
        <f>+G31/G27*1000</f>
        <v>421.70000000000005</v>
      </c>
      <c r="H35" s="54"/>
      <c r="J35" s="54">
        <f>+J31/J27*1000</f>
        <v>134.72500000000002</v>
      </c>
      <c r="K35" s="54"/>
      <c r="M35" s="54">
        <f>+M31/M27*1000</f>
        <v>177.7</v>
      </c>
      <c r="N35" s="54"/>
      <c r="P35" s="54">
        <f>+P31/P27*1000</f>
        <v>51.771428571428572</v>
      </c>
      <c r="Q35" s="54"/>
      <c r="S35" s="54">
        <f>+S31/S27*1000</f>
        <v>89.747499999999988</v>
      </c>
      <c r="T35" s="54"/>
      <c r="V35" s="54">
        <f>+V31/V27*1000</f>
        <v>59.350000000000009</v>
      </c>
      <c r="W35" s="54"/>
      <c r="Y35" s="54">
        <f>+Y31/Y27*1000</f>
        <v>177.5</v>
      </c>
      <c r="Z35" s="70"/>
      <c r="AA35" s="70"/>
      <c r="AB35" s="54">
        <f>+AB31/AB27*1000</f>
        <v>346.02625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373.03761533002125</v>
      </c>
      <c r="AS35" s="54">
        <f>+AS31/AS27*1000</f>
        <v>373.03761533002131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745.67566664740752</v>
      </c>
      <c r="G37" s="24">
        <f>+G8/(1-G6/G5)</f>
        <v>680.21838718541687</v>
      </c>
      <c r="J37" s="24">
        <f>+J8/(1-J6/J5)</f>
        <v>765.05966891555545</v>
      </c>
      <c r="M37" s="24">
        <f>+M8/(1-M6/M5)</f>
        <v>880.04669193682173</v>
      </c>
      <c r="P37" s="24">
        <f>+P8/(1-P6/P5)</f>
        <v>759.50240836786429</v>
      </c>
      <c r="S37" s="24">
        <f>+S8/(1-S6/S5)</f>
        <v>754.31612254129334</v>
      </c>
      <c r="V37" s="24">
        <f>+V8/(1-V6/V5)</f>
        <v>945.6270184889247</v>
      </c>
      <c r="Y37" s="24">
        <f>+Y8/(1-Y6/Y5)</f>
        <v>822.71481345241079</v>
      </c>
      <c r="Z37" s="70"/>
      <c r="AA37" s="70"/>
      <c r="AB37" s="24">
        <f>+AB8/(1-AB6/AB5)</f>
        <v>775.57076285400876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7110.4786767022542</v>
      </c>
      <c r="AQ37" s="36"/>
      <c r="AR37" s="36"/>
      <c r="AS37" s="36">
        <f>+AS8/(1-AS6/AS5)</f>
        <v>790.05318630025045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tabSelected="1" workbookViewId="0">
      <pane xSplit="3" ySplit="4" topLeftCell="H5" activePane="bottomRight" state="frozen"/>
      <selection pane="topRight" activeCell="C1" sqref="C1"/>
      <selection pane="bottomLeft" activeCell="A5" sqref="A5"/>
      <selection pane="bottomRight" activeCell="AF1" sqref="AF1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58</v>
      </c>
      <c r="E3" s="26" t="s">
        <v>19</v>
      </c>
      <c r="F3" s="3" t="s">
        <v>43</v>
      </c>
      <c r="G3" s="4" t="s">
        <v>59</v>
      </c>
      <c r="H3" s="26" t="s">
        <v>19</v>
      </c>
      <c r="I3" s="3" t="s">
        <v>43</v>
      </c>
      <c r="J3" s="4" t="s">
        <v>57</v>
      </c>
      <c r="K3" s="26" t="s">
        <v>19</v>
      </c>
      <c r="L3" s="3" t="s">
        <v>43</v>
      </c>
      <c r="M3" s="4" t="s">
        <v>56</v>
      </c>
      <c r="N3" s="26" t="s">
        <v>19</v>
      </c>
      <c r="O3" s="3" t="s">
        <v>43</v>
      </c>
      <c r="P3" s="4" t="s">
        <v>55</v>
      </c>
      <c r="Q3" s="26" t="s">
        <v>19</v>
      </c>
      <c r="R3" s="3" t="s">
        <v>43</v>
      </c>
      <c r="S3" s="4" t="s">
        <v>54</v>
      </c>
      <c r="T3" s="26" t="s">
        <v>19</v>
      </c>
      <c r="U3" s="3" t="s">
        <v>43</v>
      </c>
      <c r="V3" s="4" t="s">
        <v>50</v>
      </c>
      <c r="W3" s="26" t="s">
        <v>19</v>
      </c>
      <c r="X3" s="3" t="s">
        <v>43</v>
      </c>
      <c r="Y3" s="4" t="s">
        <v>49</v>
      </c>
      <c r="Z3" s="69" t="s">
        <v>19</v>
      </c>
      <c r="AA3" s="3" t="s">
        <v>43</v>
      </c>
      <c r="AB3" s="4" t="s">
        <v>48</v>
      </c>
      <c r="AC3" s="59" t="s">
        <v>10</v>
      </c>
      <c r="AD3" s="3" t="s">
        <v>43</v>
      </c>
      <c r="AE3" s="4" t="s">
        <v>51</v>
      </c>
      <c r="AF3" s="59" t="s">
        <v>10</v>
      </c>
      <c r="AG3" s="3" t="s">
        <v>43</v>
      </c>
      <c r="AH3" s="4" t="s">
        <v>52</v>
      </c>
      <c r="AI3" s="59" t="s">
        <v>10</v>
      </c>
      <c r="AJ3" s="3" t="s">
        <v>43</v>
      </c>
      <c r="AK3" s="4" t="s">
        <v>53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15</v>
      </c>
      <c r="G4" s="56"/>
      <c r="H4" s="3" t="s">
        <v>21</v>
      </c>
      <c r="I4" s="3">
        <v>15</v>
      </c>
      <c r="J4" s="56"/>
      <c r="K4" s="3" t="s">
        <v>21</v>
      </c>
      <c r="L4" s="3">
        <v>15</v>
      </c>
      <c r="M4" s="56"/>
      <c r="N4" s="3" t="s">
        <v>21</v>
      </c>
      <c r="O4" s="3">
        <v>15</v>
      </c>
      <c r="P4" s="56"/>
      <c r="Q4" s="3" t="s">
        <v>21</v>
      </c>
      <c r="R4" s="3">
        <v>15</v>
      </c>
      <c r="S4" s="56"/>
      <c r="T4" s="3" t="s">
        <v>21</v>
      </c>
      <c r="U4" s="3">
        <v>15</v>
      </c>
      <c r="V4" s="56"/>
      <c r="W4" s="3" t="s">
        <v>21</v>
      </c>
      <c r="X4" s="3">
        <v>15</v>
      </c>
      <c r="Y4" s="56"/>
      <c r="Z4" s="39" t="s">
        <v>21</v>
      </c>
      <c r="AA4" s="3">
        <v>15</v>
      </c>
      <c r="AB4" s="56"/>
      <c r="AC4" s="56"/>
      <c r="AD4" s="3">
        <v>15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15</v>
      </c>
      <c r="AS4" s="48">
        <v>9</v>
      </c>
      <c r="AT4" s="3" t="s">
        <v>21</v>
      </c>
      <c r="AU4" s="3">
        <f>+AR4</f>
        <v>15</v>
      </c>
    </row>
    <row r="5" spans="2:47">
      <c r="B5" s="10" t="s">
        <v>3</v>
      </c>
      <c r="C5" s="19"/>
      <c r="D5" s="9">
        <v>806.02320999999995</v>
      </c>
      <c r="E5" s="61">
        <f>+D5/D5</f>
        <v>1</v>
      </c>
      <c r="F5" s="93">
        <f>+D5/F4</f>
        <v>53.734880666666662</v>
      </c>
      <c r="G5" s="9">
        <f>34.089+717.753</f>
        <v>751.8420000000001</v>
      </c>
      <c r="H5" s="61">
        <f>+G5/G5</f>
        <v>1</v>
      </c>
      <c r="I5" s="93">
        <f>+G5/I4</f>
        <v>50.122800000000005</v>
      </c>
      <c r="J5" s="9">
        <f>38.092+779.939</f>
        <v>818.03099999999995</v>
      </c>
      <c r="K5" s="61">
        <f>+J5/J5</f>
        <v>1</v>
      </c>
      <c r="L5" s="93">
        <f>+J5/L4</f>
        <v>54.535399999999996</v>
      </c>
      <c r="M5" s="9">
        <f>42.30331+769.91808</f>
        <v>812.22139000000004</v>
      </c>
      <c r="N5" s="61">
        <f>+M5/M5</f>
        <v>1</v>
      </c>
      <c r="O5" s="93">
        <f>+M5/O4</f>
        <v>54.14809266666667</v>
      </c>
      <c r="P5" s="9">
        <f>46.638+726.547</f>
        <v>773.18500000000006</v>
      </c>
      <c r="Q5" s="61">
        <f>+P5/P5</f>
        <v>1</v>
      </c>
      <c r="R5" s="93">
        <f>+P5/R4</f>
        <v>51.545666666666669</v>
      </c>
      <c r="S5" s="9">
        <f>37.88851+770.543</f>
        <v>808.43151</v>
      </c>
      <c r="T5" s="61">
        <f>+S5/S5</f>
        <v>1</v>
      </c>
      <c r="U5" s="93">
        <f>+S5/U4</f>
        <v>53.895434000000002</v>
      </c>
      <c r="V5" s="9">
        <f>31.012+767.668</f>
        <v>798.68000000000006</v>
      </c>
      <c r="W5" s="61">
        <f>+V5/V5</f>
        <v>1</v>
      </c>
      <c r="X5" s="93">
        <f>+V5/X4</f>
        <v>53.245333333333335</v>
      </c>
      <c r="Y5" s="9">
        <f>38.529+741.494</f>
        <v>780.02300000000002</v>
      </c>
      <c r="Z5" s="71">
        <f>+Y5/Y5</f>
        <v>1</v>
      </c>
      <c r="AA5" s="93">
        <f>+Y5/AA4</f>
        <v>52.001533333333334</v>
      </c>
      <c r="AB5" s="9">
        <f>38.70751+758.33404</f>
        <v>797.04154999999992</v>
      </c>
      <c r="AC5" s="61">
        <f>+AB5/$AB$5</f>
        <v>1</v>
      </c>
      <c r="AD5" s="93">
        <f>+AB5/AD4</f>
        <v>53.136103333333331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7145.4786599999998</v>
      </c>
      <c r="AQ5" s="71">
        <f>+AP5/$AP$5</f>
        <v>1</v>
      </c>
      <c r="AR5" s="93">
        <f>+AP5/AR4</f>
        <v>476.36524399999996</v>
      </c>
      <c r="AS5" s="35">
        <f>+AP5/$AS$4</f>
        <v>793.94207333333327</v>
      </c>
      <c r="AT5" s="64"/>
      <c r="AU5" s="93">
        <f>+AS5/AU4</f>
        <v>52.929471555555551</v>
      </c>
    </row>
    <row r="6" spans="2:47">
      <c r="B6" s="7" t="s">
        <v>4</v>
      </c>
      <c r="C6" s="19"/>
      <c r="D6" s="11">
        <v>118.066</v>
      </c>
      <c r="E6" s="62">
        <f>+D6/D5</f>
        <v>0.14647965286260181</v>
      </c>
      <c r="F6" s="94">
        <f>+D6/F4</f>
        <v>7.8710666666666667</v>
      </c>
      <c r="G6" s="11">
        <f>3.259+43.486+0.40873+30.688</f>
        <v>77.841729999999998</v>
      </c>
      <c r="H6" s="62">
        <f>+G6/G5</f>
        <v>0.10353469212946335</v>
      </c>
      <c r="I6" s="94">
        <f>+G6/I4</f>
        <v>5.1894486666666664</v>
      </c>
      <c r="J6" s="11">
        <f>3.4925+47.2591+0.18949+117.556</f>
        <v>168.49708999999999</v>
      </c>
      <c r="K6" s="62">
        <f>+J6/J5</f>
        <v>0.20597885654700127</v>
      </c>
      <c r="L6" s="94">
        <f>+J6/L4</f>
        <v>11.233139333333332</v>
      </c>
      <c r="M6" s="11">
        <f>2.9016+48.9924+76.57229</f>
        <v>128.46629000000001</v>
      </c>
      <c r="N6" s="62">
        <f>+M6/M5</f>
        <v>0.15816659297780869</v>
      </c>
      <c r="O6" s="94">
        <f>+M6/O4</f>
        <v>8.5644193333333352</v>
      </c>
      <c r="P6" s="11">
        <f>2.9211+44.2339+16.625</f>
        <v>63.78</v>
      </c>
      <c r="Q6" s="62">
        <f>+P6/P5</f>
        <v>8.2489960358775705E-2</v>
      </c>
      <c r="R6" s="94">
        <f>+P6/R4</f>
        <v>4.2519999999999998</v>
      </c>
      <c r="S6" s="11">
        <f>3.5743+44.6613+11.51909+135.924</f>
        <v>195.67869000000002</v>
      </c>
      <c r="T6" s="62">
        <f>+S6/S5</f>
        <v>0.24204733187601757</v>
      </c>
      <c r="U6" s="94">
        <f>+S6/U4</f>
        <v>13.045246000000001</v>
      </c>
      <c r="V6" s="11">
        <f>4.0714+44.0662+18.96208+53.6864</f>
        <v>120.78608</v>
      </c>
      <c r="W6" s="62">
        <f>+V6/V5</f>
        <v>0.15123213301948213</v>
      </c>
      <c r="X6" s="94">
        <f>+V6/X4</f>
        <v>8.0524053333333327</v>
      </c>
      <c r="Y6" s="11">
        <f>3.8297+38.07+2.53721+4.811</f>
        <v>49.247910000000005</v>
      </c>
      <c r="Z6" s="72">
        <f>+Y6/Y5</f>
        <v>6.3136484436997375E-2</v>
      </c>
      <c r="AA6" s="94">
        <f>+Y6/AA4</f>
        <v>3.2831940000000004</v>
      </c>
      <c r="AB6" s="11">
        <f>2.9925+39.1531+4.87747+53.46727</f>
        <v>100.49034</v>
      </c>
      <c r="AC6" s="62">
        <f>+AB6/$AB$5</f>
        <v>0.12607917366415844</v>
      </c>
      <c r="AD6" s="94">
        <f>+AB6/AD4</f>
        <v>6.6993559999999999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1022.8541299999999</v>
      </c>
      <c r="AQ6" s="72">
        <f>+AP6/$AP$5</f>
        <v>0.14314704146076057</v>
      </c>
      <c r="AR6" s="94">
        <f>+AP6/AR4</f>
        <v>68.190275333333332</v>
      </c>
      <c r="AS6" s="16">
        <f t="shared" ref="AS6:AS9" si="0">+AP6/$AS$4</f>
        <v>113.65045888888888</v>
      </c>
      <c r="AT6" s="64"/>
      <c r="AU6" s="94">
        <f>+AS6/AU4</f>
        <v>7.5766972592592587</v>
      </c>
    </row>
    <row r="7" spans="2:47">
      <c r="B7" s="10" t="s">
        <v>6</v>
      </c>
      <c r="C7" s="19"/>
      <c r="D7" s="8">
        <f>+D5-D6</f>
        <v>687.95720999999992</v>
      </c>
      <c r="E7" s="63">
        <f>+D7/D5</f>
        <v>0.85352034713739811</v>
      </c>
      <c r="F7" s="82">
        <f>+F5-F6</f>
        <v>45.863813999999998</v>
      </c>
      <c r="G7" s="8">
        <f>+G5-G6</f>
        <v>674.00027000000011</v>
      </c>
      <c r="H7" s="63">
        <f>+G7/G5</f>
        <v>0.89646530787053669</v>
      </c>
      <c r="I7" s="82">
        <f>+I5-I6</f>
        <v>44.933351333333341</v>
      </c>
      <c r="J7" s="8">
        <f>+J5-J6</f>
        <v>649.53390999999999</v>
      </c>
      <c r="K7" s="63">
        <f>+J7/J5</f>
        <v>0.79402114345299879</v>
      </c>
      <c r="L7" s="82">
        <f>+L5-L6</f>
        <v>43.302260666666662</v>
      </c>
      <c r="M7" s="8">
        <f>+M5-M6</f>
        <v>683.75510000000008</v>
      </c>
      <c r="N7" s="63">
        <f>+M7/M5</f>
        <v>0.84183340702219134</v>
      </c>
      <c r="O7" s="82">
        <f>+O5-O6</f>
        <v>45.583673333333337</v>
      </c>
      <c r="P7" s="8">
        <f>+P5-P6</f>
        <v>709.40500000000009</v>
      </c>
      <c r="Q7" s="63">
        <f>+P7/P5</f>
        <v>0.91751003964122435</v>
      </c>
      <c r="R7" s="82">
        <f>+R5-R6</f>
        <v>47.293666666666667</v>
      </c>
      <c r="S7" s="8">
        <f>+S5-S6</f>
        <v>612.75281999999993</v>
      </c>
      <c r="T7" s="63">
        <f>+S7/S5</f>
        <v>0.75795266812398232</v>
      </c>
      <c r="U7" s="82">
        <f>+U5-U6</f>
        <v>40.850188000000003</v>
      </c>
      <c r="V7" s="8">
        <f>+V5-V6</f>
        <v>677.89392000000009</v>
      </c>
      <c r="W7" s="63">
        <f>+V7/V5</f>
        <v>0.84876786698051787</v>
      </c>
      <c r="X7" s="82">
        <f>+X5-X6</f>
        <v>45.192928000000002</v>
      </c>
      <c r="Y7" s="8">
        <f>+Y5-Y6</f>
        <v>730.77508999999998</v>
      </c>
      <c r="Z7" s="72">
        <f>+Y7/Y5</f>
        <v>0.93686351556300262</v>
      </c>
      <c r="AA7" s="82">
        <f>+AA5-AA6</f>
        <v>48.718339333333333</v>
      </c>
      <c r="AB7" s="8">
        <f>+AB5-AB6</f>
        <v>696.55120999999986</v>
      </c>
      <c r="AC7" s="63">
        <f>+AB7/$AB$5</f>
        <v>0.87392082633584145</v>
      </c>
      <c r="AD7" s="82">
        <f>+AD5-AD6</f>
        <v>46.436747333333329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6122.62453</v>
      </c>
      <c r="AQ7" s="72">
        <f>+AP7/$AP$5</f>
        <v>0.85685295853923948</v>
      </c>
      <c r="AR7" s="82">
        <f>+AR5-AR6</f>
        <v>408.17496866666664</v>
      </c>
      <c r="AS7" s="14">
        <f t="shared" si="0"/>
        <v>680.29161444444446</v>
      </c>
      <c r="AT7" s="64"/>
      <c r="AU7" s="82">
        <f>+AU5-AU6</f>
        <v>45.352774296296289</v>
      </c>
    </row>
    <row r="8" spans="2:47">
      <c r="B8" s="7" t="s">
        <v>5</v>
      </c>
      <c r="C8" s="19"/>
      <c r="D8" s="11">
        <v>684.55200000000002</v>
      </c>
      <c r="E8" s="62">
        <f>+D8/D5</f>
        <v>0.84929564249148615</v>
      </c>
      <c r="F8" s="94">
        <f>+D8/F4</f>
        <v>45.636800000000001</v>
      </c>
      <c r="G8" s="11">
        <v>718.37199999999996</v>
      </c>
      <c r="H8" s="62">
        <f>+G8/G5</f>
        <v>0.95548266790096836</v>
      </c>
      <c r="I8" s="94">
        <f>+G8/I4</f>
        <v>47.891466666666666</v>
      </c>
      <c r="J8" s="11">
        <v>619.40274999999997</v>
      </c>
      <c r="K8" s="62">
        <f>+J8/J5</f>
        <v>0.75718738042934808</v>
      </c>
      <c r="L8" s="94">
        <f>+J8/L4</f>
        <v>41.293516666666662</v>
      </c>
      <c r="M8" s="11">
        <v>622.56885</v>
      </c>
      <c r="N8" s="62">
        <f>+M8/M5</f>
        <v>0.76650142149051259</v>
      </c>
      <c r="O8" s="94">
        <f>+M8/O4</f>
        <v>41.50459</v>
      </c>
      <c r="P8" s="11">
        <v>720.30173000000002</v>
      </c>
      <c r="Q8" s="62">
        <f>+P8/P5</f>
        <v>0.93160334202034434</v>
      </c>
      <c r="R8" s="94">
        <f>+P8/R4</f>
        <v>48.020115333333337</v>
      </c>
      <c r="S8" s="11">
        <v>669.73978999999997</v>
      </c>
      <c r="T8" s="62">
        <f>+S8/S5</f>
        <v>0.82844345094861527</v>
      </c>
      <c r="U8" s="94">
        <f>+S8/U4</f>
        <v>44.649319333333331</v>
      </c>
      <c r="V8" s="11">
        <v>915.04600000000005</v>
      </c>
      <c r="W8" s="62">
        <f>+V8/V5</f>
        <v>1.1456979015375368</v>
      </c>
      <c r="X8" s="94">
        <f>+V8/X4</f>
        <v>61.003066666666669</v>
      </c>
      <c r="Y8" s="11">
        <v>683.81200000000001</v>
      </c>
      <c r="Z8" s="72">
        <f>+Y8/Y5</f>
        <v>0.87665620116329901</v>
      </c>
      <c r="AA8" s="94">
        <f>+Y8/AA4</f>
        <v>45.587466666666664</v>
      </c>
      <c r="AB8" s="11">
        <v>692.69287999999995</v>
      </c>
      <c r="AC8" s="62">
        <f>+AB8/$AB$5</f>
        <v>0.8690800122026261</v>
      </c>
      <c r="AD8" s="94">
        <f>+AB8/AD4</f>
        <v>46.179525333333331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6326.4880000000003</v>
      </c>
      <c r="AQ8" s="72">
        <f>+AP8/$AP$5</f>
        <v>0.88538337332323658</v>
      </c>
      <c r="AR8" s="94">
        <f>+AP8/AR4</f>
        <v>421.76586666666668</v>
      </c>
      <c r="AS8" s="16">
        <f t="shared" si="0"/>
        <v>702.94311111111119</v>
      </c>
      <c r="AT8" s="64"/>
      <c r="AU8" s="94">
        <f>+AS8/AU4</f>
        <v>46.862874074074078</v>
      </c>
    </row>
    <row r="9" spans="2:47">
      <c r="B9" s="21" t="s">
        <v>12</v>
      </c>
      <c r="C9" s="19"/>
      <c r="D9" s="18">
        <f>+D5-D6-D8</f>
        <v>3.4052099999998973</v>
      </c>
      <c r="E9" s="61">
        <f>+D9/D5</f>
        <v>4.2247046459119924E-3</v>
      </c>
      <c r="F9" s="18">
        <f>+F5-F6-F8</f>
        <v>0.22701399999999694</v>
      </c>
      <c r="G9" s="18">
        <f>+G5-G6-G8</f>
        <v>-44.371729999999843</v>
      </c>
      <c r="H9" s="61">
        <f>+G9/G5</f>
        <v>-5.9017360030431711E-2</v>
      </c>
      <c r="I9" s="18">
        <f>+I5-I6-I8</f>
        <v>-2.9581153333333248</v>
      </c>
      <c r="J9" s="18">
        <f>+J5-J6-J8</f>
        <v>30.131160000000023</v>
      </c>
      <c r="K9" s="61">
        <f>+J9/J5</f>
        <v>3.6833763023650726E-2</v>
      </c>
      <c r="L9" s="18">
        <f>+L5-L6-L8</f>
        <v>2.0087440000000001</v>
      </c>
      <c r="M9" s="18">
        <f>+M5-M6-M8</f>
        <v>61.186250000000086</v>
      </c>
      <c r="N9" s="61">
        <f>+M9/M5</f>
        <v>7.5331985531678844E-2</v>
      </c>
      <c r="O9" s="18">
        <f>+O5-O6-O8</f>
        <v>4.0790833333333367</v>
      </c>
      <c r="P9" s="18">
        <f>+P5-P6-P8</f>
        <v>-10.896729999999934</v>
      </c>
      <c r="Q9" s="61">
        <f>+P9/P5</f>
        <v>-1.4093302379120046E-2</v>
      </c>
      <c r="R9" s="18">
        <f>+R5-R6-R8</f>
        <v>-0.72644866666666985</v>
      </c>
      <c r="S9" s="18">
        <f>+S5-S6-S8</f>
        <v>-56.986970000000042</v>
      </c>
      <c r="T9" s="61">
        <f>+S9/S5</f>
        <v>-7.0490782824632905E-2</v>
      </c>
      <c r="U9" s="18">
        <f>+U5-U6-U8</f>
        <v>-3.7991313333333281</v>
      </c>
      <c r="V9" s="18">
        <f>+V5-V6-V8</f>
        <v>-237.15207999999996</v>
      </c>
      <c r="W9" s="61">
        <f>+V9/V5</f>
        <v>-0.296930034557019</v>
      </c>
      <c r="X9" s="18">
        <f>+X5-X6-X8</f>
        <v>-15.810138666666667</v>
      </c>
      <c r="Y9" s="18">
        <f>+Y5-Y6-Y8</f>
        <v>46.963089999999966</v>
      </c>
      <c r="Z9" s="71">
        <f>+Y9/Y5</f>
        <v>6.0207314399703553E-2</v>
      </c>
      <c r="AA9" s="18">
        <f>+AA5-AA6-AA8</f>
        <v>3.1308726666666686</v>
      </c>
      <c r="AB9" s="18">
        <f>+AB5-AB6-AB8</f>
        <v>3.8583299999999099</v>
      </c>
      <c r="AC9" s="61">
        <f>+AB9/$AB$5</f>
        <v>4.840814133215402E-3</v>
      </c>
      <c r="AD9" s="18">
        <f>+AD5-AD6-AD8</f>
        <v>0.25722199999999873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-203.86346999999989</v>
      </c>
      <c r="AQ9" s="71">
        <f>+AP9/$AP$5</f>
        <v>-2.8530414783997114E-2</v>
      </c>
      <c r="AR9" s="18">
        <f>+AR5-AR6-AR8</f>
        <v>-13.590898000000038</v>
      </c>
      <c r="AS9" s="34">
        <f t="shared" si="0"/>
        <v>-22.651496666666656</v>
      </c>
      <c r="AT9" s="64"/>
      <c r="AU9" s="18">
        <f>+AU5-AU6-AU8</f>
        <v>-1.5100997777777891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1.1333333333333333</v>
      </c>
      <c r="G11" s="37">
        <v>17</v>
      </c>
      <c r="H11" s="64"/>
      <c r="I11" s="94">
        <f>+G11/I4</f>
        <v>1.1333333333333333</v>
      </c>
      <c r="J11" s="37">
        <v>17</v>
      </c>
      <c r="K11" s="64"/>
      <c r="L11" s="94">
        <f>+J11/L4</f>
        <v>1.1333333333333333</v>
      </c>
      <c r="M11" s="37">
        <v>17</v>
      </c>
      <c r="N11" s="64"/>
      <c r="O11" s="94">
        <f>+M11/O4</f>
        <v>1.1333333333333333</v>
      </c>
      <c r="P11" s="37">
        <v>17</v>
      </c>
      <c r="Q11" s="64"/>
      <c r="R11" s="94">
        <f>+P11/R4</f>
        <v>1.1333333333333333</v>
      </c>
      <c r="S11" s="37">
        <v>17</v>
      </c>
      <c r="T11" s="64"/>
      <c r="U11" s="94">
        <f>+S11/U4</f>
        <v>1.1333333333333333</v>
      </c>
      <c r="V11" s="37">
        <v>18</v>
      </c>
      <c r="W11" s="64"/>
      <c r="X11" s="94">
        <f>+V11/X4</f>
        <v>1.2</v>
      </c>
      <c r="Y11" s="37">
        <v>18</v>
      </c>
      <c r="Z11" s="73"/>
      <c r="AA11" s="94">
        <f>+Y11/AA4</f>
        <v>1.2</v>
      </c>
      <c r="AB11" s="37">
        <v>18</v>
      </c>
      <c r="AC11" s="64"/>
      <c r="AD11" s="94">
        <f>+AB11/AD4</f>
        <v>1.2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156</v>
      </c>
      <c r="AQ11" s="64"/>
      <c r="AR11" s="94">
        <f>+AP11/AR4</f>
        <v>10.4</v>
      </c>
      <c r="AS11" s="33">
        <f>+AP11/AS4</f>
        <v>17.333333333333332</v>
      </c>
      <c r="AT11" s="64"/>
      <c r="AU11" s="94">
        <f>+AS11/AU4</f>
        <v>1.1555555555555554</v>
      </c>
    </row>
    <row r="12" spans="2:47">
      <c r="B12" s="20" t="s">
        <v>13</v>
      </c>
      <c r="C12" s="19"/>
      <c r="D12" s="37">
        <v>531.48833000000002</v>
      </c>
      <c r="E12" s="64"/>
      <c r="F12" s="94">
        <f>+D12/F4</f>
        <v>35.432555333333333</v>
      </c>
      <c r="G12" s="37">
        <v>513.72900000000004</v>
      </c>
      <c r="H12" s="64"/>
      <c r="I12" s="94">
        <f>+G12/I4</f>
        <v>34.248600000000003</v>
      </c>
      <c r="J12" s="37">
        <v>449.06189000000001</v>
      </c>
      <c r="K12" s="64"/>
      <c r="L12" s="94">
        <f>+J12/L4</f>
        <v>29.937459333333333</v>
      </c>
      <c r="M12" s="37">
        <v>454.91091999999998</v>
      </c>
      <c r="N12" s="64"/>
      <c r="O12" s="94">
        <f>+M12/O4</f>
        <v>30.327394666666667</v>
      </c>
      <c r="P12" s="37">
        <v>515.48330999999996</v>
      </c>
      <c r="Q12" s="64"/>
      <c r="R12" s="94">
        <f>+P12/R4</f>
        <v>34.365553999999996</v>
      </c>
      <c r="S12" s="37">
        <v>505.44499999999999</v>
      </c>
      <c r="T12" s="64"/>
      <c r="U12" s="94">
        <f>+S12/U4</f>
        <v>33.696333333333335</v>
      </c>
      <c r="V12" s="37">
        <v>671.82150000000001</v>
      </c>
      <c r="W12" s="64"/>
      <c r="X12" s="94">
        <f>+V12/X4</f>
        <v>44.7881</v>
      </c>
      <c r="Y12" s="37">
        <v>522.49558999999999</v>
      </c>
      <c r="Z12" s="73"/>
      <c r="AA12" s="94">
        <f>+Y12/AA4</f>
        <v>34.833039333333332</v>
      </c>
      <c r="AB12" s="37">
        <v>520.57100000000003</v>
      </c>
      <c r="AC12" s="64"/>
      <c r="AD12" s="94">
        <f>+AB12/AD4</f>
        <v>34.704733333333337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4685.0065400000003</v>
      </c>
      <c r="AQ12" s="64"/>
      <c r="AR12" s="94">
        <f>+AP12/AR4</f>
        <v>312.33376933333335</v>
      </c>
      <c r="AS12" s="16">
        <f t="shared" ref="AS12" si="1">+AP12/$AS$4</f>
        <v>520.55628222222231</v>
      </c>
      <c r="AT12" s="64"/>
      <c r="AU12" s="94">
        <f>+AS12/AU4</f>
        <v>34.703752148148155</v>
      </c>
    </row>
    <row r="13" spans="2:47">
      <c r="B13" s="21" t="s">
        <v>16</v>
      </c>
      <c r="C13" s="19"/>
      <c r="D13" s="38">
        <f>+D12/D5</f>
        <v>0.65939581318011931</v>
      </c>
      <c r="E13" s="64"/>
      <c r="F13" s="38"/>
      <c r="G13" s="38">
        <f>+G12/G5</f>
        <v>0.6832938303526539</v>
      </c>
      <c r="H13" s="64"/>
      <c r="I13" s="38"/>
      <c r="J13" s="38">
        <f>+J12/J5</f>
        <v>0.54895461174454274</v>
      </c>
      <c r="K13" s="64"/>
      <c r="L13" s="38"/>
      <c r="M13" s="38">
        <f>+M12/M5</f>
        <v>0.5600824179230246</v>
      </c>
      <c r="N13" s="64"/>
      <c r="O13" s="38"/>
      <c r="P13" s="38">
        <f>+P12/P5</f>
        <v>0.66670112586250374</v>
      </c>
      <c r="Q13" s="64"/>
      <c r="R13" s="38"/>
      <c r="S13" s="38">
        <f>+S12/S5</f>
        <v>0.62521684737399708</v>
      </c>
      <c r="T13" s="64"/>
      <c r="U13" s="38"/>
      <c r="V13" s="38">
        <f>+V12/V5</f>
        <v>0.84116479691490953</v>
      </c>
      <c r="W13" s="64"/>
      <c r="X13" s="38"/>
      <c r="Y13" s="38">
        <f>+Y12/Y5</f>
        <v>0.66984638914493544</v>
      </c>
      <c r="Z13" s="73"/>
      <c r="AA13" s="38"/>
      <c r="AB13" s="38">
        <f>+AB12/AB5</f>
        <v>0.65312906209218335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0.65566028014699862</v>
      </c>
      <c r="AQ13" s="64"/>
      <c r="AR13" s="38"/>
      <c r="AS13" s="40">
        <f>+AS12/AS5</f>
        <v>0.65566028014699873</v>
      </c>
      <c r="AT13" s="64"/>
      <c r="AU13" s="38"/>
    </row>
    <row r="14" spans="2:47">
      <c r="B14" s="21" t="s">
        <v>14</v>
      </c>
      <c r="C14" s="19"/>
      <c r="D14" s="8">
        <f>+D5/D11</f>
        <v>47.413129999999995</v>
      </c>
      <c r="E14" s="64"/>
      <c r="F14" s="8"/>
      <c r="G14" s="8">
        <f>+G5/G11</f>
        <v>44.226000000000006</v>
      </c>
      <c r="H14" s="64"/>
      <c r="I14" s="8"/>
      <c r="J14" s="8">
        <f>+J5/J11</f>
        <v>48.119470588235288</v>
      </c>
      <c r="K14" s="64"/>
      <c r="L14" s="8"/>
      <c r="M14" s="8">
        <f>+M5/M11</f>
        <v>47.777728823529415</v>
      </c>
      <c r="N14" s="64"/>
      <c r="O14" s="8"/>
      <c r="P14" s="8">
        <f>+P5/P11</f>
        <v>45.481470588235297</v>
      </c>
      <c r="Q14" s="64"/>
      <c r="R14" s="8"/>
      <c r="S14" s="8">
        <f>+S5/S11</f>
        <v>47.554794705882351</v>
      </c>
      <c r="T14" s="64"/>
      <c r="U14" s="8"/>
      <c r="V14" s="8">
        <f>+V5/V11</f>
        <v>44.371111111111112</v>
      </c>
      <c r="W14" s="64"/>
      <c r="X14" s="8"/>
      <c r="Y14" s="8">
        <f>+Y5/Y11</f>
        <v>43.334611111111116</v>
      </c>
      <c r="Z14" s="73"/>
      <c r="AA14" s="8"/>
      <c r="AB14" s="8">
        <f>+AB5/AB11</f>
        <v>44.280086111111103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45.804350384615383</v>
      </c>
      <c r="AQ14" s="64"/>
      <c r="AR14" s="8"/>
      <c r="AS14" s="41">
        <f>+AS5/AS11</f>
        <v>45.804350384615383</v>
      </c>
      <c r="AT14" s="64"/>
      <c r="AU14" s="8"/>
    </row>
    <row r="15" spans="2:47">
      <c r="B15" s="10" t="s">
        <v>41</v>
      </c>
      <c r="C15" s="19"/>
      <c r="D15" s="8">
        <f>+D12/D11</f>
        <v>31.264019411764707</v>
      </c>
      <c r="E15" s="64"/>
      <c r="F15" s="8"/>
      <c r="G15" s="8">
        <f>+G12/G11</f>
        <v>30.219352941176474</v>
      </c>
      <c r="H15" s="64"/>
      <c r="I15" s="8"/>
      <c r="J15" s="8">
        <f>+J12/J11</f>
        <v>26.415405294117647</v>
      </c>
      <c r="K15" s="64"/>
      <c r="L15" s="8"/>
      <c r="M15" s="8">
        <f>+M12/M11</f>
        <v>26.759465882352941</v>
      </c>
      <c r="N15" s="64"/>
      <c r="O15" s="8"/>
      <c r="P15" s="8">
        <f>+P12/P11</f>
        <v>30.322547647058823</v>
      </c>
      <c r="Q15" s="64"/>
      <c r="R15" s="8"/>
      <c r="S15" s="8">
        <f>+S12/S11</f>
        <v>29.73205882352941</v>
      </c>
      <c r="T15" s="64"/>
      <c r="U15" s="8"/>
      <c r="V15" s="8">
        <f>+V12/V11</f>
        <v>37.323416666666667</v>
      </c>
      <c r="W15" s="64"/>
      <c r="X15" s="8"/>
      <c r="Y15" s="8">
        <f>+Y12/Y11</f>
        <v>29.027532777777779</v>
      </c>
      <c r="Z15" s="73"/>
      <c r="AA15" s="8"/>
      <c r="AB15" s="8">
        <f>+AB12/AB11</f>
        <v>28.920611111111114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30.032093205128206</v>
      </c>
      <c r="AQ15" s="64"/>
      <c r="AR15" s="8"/>
      <c r="AS15" s="41">
        <f>+AS12/AS11</f>
        <v>30.032093205128213</v>
      </c>
      <c r="AT15" s="64"/>
      <c r="AU15" s="8"/>
    </row>
    <row r="16" spans="2:47">
      <c r="B16" s="21" t="s">
        <v>17</v>
      </c>
      <c r="C16" s="19"/>
      <c r="D16" s="38">
        <f>+D12/D7</f>
        <v>0.77256015675742407</v>
      </c>
      <c r="E16" s="64"/>
      <c r="F16" s="38"/>
      <c r="G16" s="38">
        <f>+G12/G7</f>
        <v>0.76220889347714949</v>
      </c>
      <c r="H16" s="64"/>
      <c r="I16" s="38"/>
      <c r="J16" s="38">
        <f>+J12/J7</f>
        <v>0.69136019395815684</v>
      </c>
      <c r="K16" s="64"/>
      <c r="L16" s="38"/>
      <c r="M16" s="38">
        <f>+M12/M7</f>
        <v>0.66531265360945746</v>
      </c>
      <c r="N16" s="64"/>
      <c r="O16" s="38"/>
      <c r="P16" s="38">
        <f>+P12/P7</f>
        <v>0.72664177726404511</v>
      </c>
      <c r="Q16" s="64"/>
      <c r="R16" s="38"/>
      <c r="S16" s="38">
        <f>+S12/S7</f>
        <v>0.82487584471663478</v>
      </c>
      <c r="T16" s="64"/>
      <c r="U16" s="38"/>
      <c r="V16" s="38">
        <f>+V12/V7</f>
        <v>0.99104222678380105</v>
      </c>
      <c r="W16" s="64"/>
      <c r="X16" s="38"/>
      <c r="Y16" s="38">
        <f>+Y12/Y7</f>
        <v>0.71498823256277111</v>
      </c>
      <c r="Z16" s="73"/>
      <c r="AA16" s="38"/>
      <c r="AB16" s="38">
        <f>+AB12/AB7</f>
        <v>0.7473549575773476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0.7651957942291131</v>
      </c>
      <c r="AQ16" s="64"/>
      <c r="AR16" s="38"/>
      <c r="AS16" s="40">
        <f>+AS12/AS7</f>
        <v>0.7651957942291131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11601.67</v>
      </c>
      <c r="E18" s="65">
        <v>11.60167</v>
      </c>
      <c r="F18" s="80">
        <f>+D18/F4</f>
        <v>773.44466666666665</v>
      </c>
      <c r="G18" s="11">
        <v>11186.44</v>
      </c>
      <c r="H18" s="65">
        <v>11186.44</v>
      </c>
      <c r="I18" s="80">
        <f>+G18/I4</f>
        <v>745.76266666666675</v>
      </c>
      <c r="J18" s="11">
        <v>11422</v>
      </c>
      <c r="K18" s="65">
        <v>11422</v>
      </c>
      <c r="L18" s="80">
        <f>+J18/L4</f>
        <v>761.4666666666667</v>
      </c>
      <c r="M18" s="11">
        <v>12371</v>
      </c>
      <c r="N18" s="65">
        <v>12371</v>
      </c>
      <c r="O18" s="80">
        <f>+M18/O4</f>
        <v>824.73333333333335</v>
      </c>
      <c r="P18" s="11">
        <v>11117</v>
      </c>
      <c r="Q18" s="65">
        <v>11117</v>
      </c>
      <c r="R18" s="80">
        <f>+P18/R4</f>
        <v>741.13333333333333</v>
      </c>
      <c r="S18" s="11">
        <v>10903</v>
      </c>
      <c r="T18" s="65">
        <v>10903</v>
      </c>
      <c r="U18" s="80">
        <f>+S18/U4</f>
        <v>726.86666666666667</v>
      </c>
      <c r="V18" s="11">
        <v>10964</v>
      </c>
      <c r="W18" s="65">
        <v>10964</v>
      </c>
      <c r="X18" s="80">
        <f>+V18/X4</f>
        <v>730.93333333333328</v>
      </c>
      <c r="Y18" s="11">
        <v>10844</v>
      </c>
      <c r="Z18" s="65">
        <v>10844</v>
      </c>
      <c r="AA18" s="80">
        <f>+Y18/AA4</f>
        <v>722.93333333333328</v>
      </c>
      <c r="AB18" s="11">
        <v>11302</v>
      </c>
      <c r="AC18" s="65">
        <v>11302</v>
      </c>
      <c r="AD18" s="80">
        <f>+AB18/AD4</f>
        <v>753.4666666666667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101711.11</v>
      </c>
      <c r="AQ18" s="27">
        <f t="shared" si="2"/>
        <v>90121.041670000006</v>
      </c>
      <c r="AR18" s="80">
        <f>+AP18/AR4</f>
        <v>6780.7406666666666</v>
      </c>
      <c r="AS18" s="16">
        <f t="shared" ref="AS18:AT20" si="3">+AP18/$AS$4</f>
        <v>11301.234444444444</v>
      </c>
      <c r="AT18" s="80">
        <f t="shared" si="3"/>
        <v>10013.449074444445</v>
      </c>
      <c r="AU18" s="80">
        <f>+AS18/AU4</f>
        <v>753.41562962962962</v>
      </c>
    </row>
    <row r="19" spans="2:47">
      <c r="B19" s="20" t="s">
        <v>28</v>
      </c>
      <c r="C19" s="19"/>
      <c r="D19" s="11">
        <v>1573.89</v>
      </c>
      <c r="E19" s="65">
        <v>1573.89</v>
      </c>
      <c r="F19" s="80">
        <f>+D19/F4</f>
        <v>104.926</v>
      </c>
      <c r="G19" s="11">
        <v>1557.56</v>
      </c>
      <c r="H19" s="65">
        <v>1557.56</v>
      </c>
      <c r="I19" s="80">
        <f>+G19/I4</f>
        <v>103.83733333333333</v>
      </c>
      <c r="J19" s="11">
        <v>1622.34</v>
      </c>
      <c r="K19" s="65">
        <v>1622.34</v>
      </c>
      <c r="L19" s="80">
        <f>+J19/L4</f>
        <v>108.15599999999999</v>
      </c>
      <c r="M19" s="11">
        <v>1663.19</v>
      </c>
      <c r="N19" s="65">
        <v>1663.19</v>
      </c>
      <c r="O19" s="80">
        <f>+M19/O4</f>
        <v>110.87933333333334</v>
      </c>
      <c r="P19" s="11">
        <v>1421.66</v>
      </c>
      <c r="Q19" s="65">
        <v>1421.66</v>
      </c>
      <c r="R19" s="80">
        <f>+P19/R4</f>
        <v>94.777333333333345</v>
      </c>
      <c r="S19" s="11">
        <v>1514.96</v>
      </c>
      <c r="T19" s="65">
        <v>1514.96</v>
      </c>
      <c r="U19" s="80">
        <f>+S19/U4</f>
        <v>100.99733333333333</v>
      </c>
      <c r="V19" s="11">
        <v>1549.53</v>
      </c>
      <c r="W19" s="11">
        <v>1549.53</v>
      </c>
      <c r="X19" s="80">
        <f>+V19/X4</f>
        <v>103.30199999999999</v>
      </c>
      <c r="Y19" s="11">
        <v>1427.55</v>
      </c>
      <c r="Z19" s="65">
        <v>1427.55</v>
      </c>
      <c r="AA19" s="80">
        <f>+Y19/AA4</f>
        <v>95.17</v>
      </c>
      <c r="AB19" s="11">
        <v>1489.76</v>
      </c>
      <c r="AC19" s="65">
        <v>1489.76</v>
      </c>
      <c r="AD19" s="80">
        <f>+AB19/AD4</f>
        <v>99.317333333333337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13820.439999999999</v>
      </c>
      <c r="AQ19" s="27">
        <f t="shared" si="2"/>
        <v>13820.439999999999</v>
      </c>
      <c r="AR19" s="80">
        <f>+AP19/AR4</f>
        <v>921.36266666666654</v>
      </c>
      <c r="AS19" s="16">
        <f t="shared" si="3"/>
        <v>1535.6044444444442</v>
      </c>
      <c r="AT19" s="80">
        <f t="shared" si="3"/>
        <v>1535.6044444444442</v>
      </c>
      <c r="AU19" s="80">
        <f>+AS19/AU4</f>
        <v>102.37362962962962</v>
      </c>
    </row>
    <row r="20" spans="2:47">
      <c r="B20" s="20" t="s">
        <v>29</v>
      </c>
      <c r="C20" s="19"/>
      <c r="D20" s="11">
        <f>51.7276-0.7347-4.2333</f>
        <v>46.759600000000006</v>
      </c>
      <c r="E20" s="66">
        <v>47.494</v>
      </c>
      <c r="F20" s="80">
        <f>+D20/F4</f>
        <v>3.1173066666666669</v>
      </c>
      <c r="G20" s="11">
        <f>3.2591+43.4861-0.74799</f>
        <v>45.997209999999995</v>
      </c>
      <c r="H20" s="66">
        <v>46.615000000000002</v>
      </c>
      <c r="I20" s="80">
        <f>+G20/I4</f>
        <v>3.0664806666666662</v>
      </c>
      <c r="J20" s="11">
        <f>3.4925+47.2591-0.628</f>
        <v>50.123599999999996</v>
      </c>
      <c r="K20" s="66">
        <v>50.123609999999999</v>
      </c>
      <c r="L20" s="80">
        <f>+J20/L4</f>
        <v>3.3415733333333333</v>
      </c>
      <c r="M20" s="11">
        <f>2.9016+48.9924-0.15601</f>
        <v>51.737990000000003</v>
      </c>
      <c r="N20" s="66">
        <v>51.738</v>
      </c>
      <c r="O20" s="80">
        <f>+M20/O4</f>
        <v>3.4491993333333335</v>
      </c>
      <c r="P20" s="11">
        <f>2.9211+44.2339-2.5206</f>
        <v>44.634399999999999</v>
      </c>
      <c r="Q20" s="66">
        <v>44.643436999999999</v>
      </c>
      <c r="R20" s="80">
        <f>+P20/R4</f>
        <v>2.9756266666666664</v>
      </c>
      <c r="S20" s="11">
        <f>3.5743+44.6613-0.474</f>
        <v>47.761600000000001</v>
      </c>
      <c r="T20" s="66">
        <v>47.761609999999997</v>
      </c>
      <c r="U20" s="80">
        <f>+S20/U4</f>
        <v>3.1841066666666666</v>
      </c>
      <c r="V20" s="11">
        <f>4.0714+44.0662-0.4657</f>
        <v>47.671900000000001</v>
      </c>
      <c r="W20" s="66">
        <v>47.671880000000002</v>
      </c>
      <c r="X20" s="80">
        <f>+V20/X4</f>
        <v>3.1781266666666665</v>
      </c>
      <c r="Y20" s="11">
        <f>3.8297+38.07-0.1476</f>
        <v>41.752100000000006</v>
      </c>
      <c r="Z20" s="66">
        <v>41.752099999999999</v>
      </c>
      <c r="AA20" s="80">
        <f>+Y20/AA4</f>
        <v>2.7834733333333337</v>
      </c>
      <c r="AB20" s="11">
        <f>2.9925+39.1531-0.285</f>
        <v>41.860600000000005</v>
      </c>
      <c r="AC20" s="66">
        <v>41.86063</v>
      </c>
      <c r="AD20" s="80">
        <f>+AB20/AD4</f>
        <v>2.7907066666666669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418.29899999999998</v>
      </c>
      <c r="AQ20" s="27">
        <f t="shared" si="2"/>
        <v>419.66026699999998</v>
      </c>
      <c r="AR20" s="80">
        <f>+AP20/AR4</f>
        <v>27.886599999999998</v>
      </c>
      <c r="AS20" s="16">
        <f t="shared" si="3"/>
        <v>46.477666666666664</v>
      </c>
      <c r="AT20" s="80">
        <f t="shared" si="3"/>
        <v>46.628918555555551</v>
      </c>
      <c r="AU20" s="80">
        <f>+AS20/AU4</f>
        <v>3.0985111111111108</v>
      </c>
    </row>
    <row r="21" spans="2:47">
      <c r="B21" s="21" t="s">
        <v>30</v>
      </c>
      <c r="C21" s="19"/>
      <c r="D21" s="50">
        <f t="shared" ref="D21:E21" si="4">+D20/D19*1000</f>
        <v>29.709573095959694</v>
      </c>
      <c r="E21" s="67">
        <f t="shared" si="4"/>
        <v>30.176187662416048</v>
      </c>
      <c r="F21" s="67"/>
      <c r="G21" s="50">
        <f t="shared" ref="G21:H21" si="5">+G20/G19*1000</f>
        <v>29.531581447905698</v>
      </c>
      <c r="H21" s="67">
        <f t="shared" si="5"/>
        <v>29.928221063715046</v>
      </c>
      <c r="I21" s="67"/>
      <c r="J21" s="50">
        <f t="shared" ref="J21:K21" si="6">+J20/J19*1000</f>
        <v>30.895866464489561</v>
      </c>
      <c r="K21" s="67">
        <f t="shared" si="6"/>
        <v>30.895872628425607</v>
      </c>
      <c r="L21" s="67"/>
      <c r="M21" s="50">
        <f t="shared" ref="M21:N21" si="7">+M20/M19*1000</f>
        <v>31.107684630138468</v>
      </c>
      <c r="N21" s="67">
        <f t="shared" si="7"/>
        <v>31.10769064268063</v>
      </c>
      <c r="O21" s="67"/>
      <c r="P21" s="50">
        <f t="shared" ref="P21:Q21" si="8">+P20/P19*1000</f>
        <v>31.395973720861523</v>
      </c>
      <c r="Q21" s="67">
        <f t="shared" si="8"/>
        <v>31.402330374351106</v>
      </c>
      <c r="R21" s="67"/>
      <c r="S21" s="50">
        <f t="shared" ref="S21:T21" si="9">+S20/S19*1000</f>
        <v>31.526640967418277</v>
      </c>
      <c r="T21" s="67">
        <f t="shared" si="9"/>
        <v>31.526647568252624</v>
      </c>
      <c r="U21" s="67"/>
      <c r="V21" s="50">
        <f t="shared" ref="V21" si="10">+V20/V19*1000</f>
        <v>30.76539337734668</v>
      </c>
      <c r="W21" s="67">
        <f t="shared" ref="W21:AC21" si="11">+W20/W19*1000</f>
        <v>30.765380470207099</v>
      </c>
      <c r="X21" s="67"/>
      <c r="Y21" s="50">
        <f t="shared" ref="Y21" si="12">+Y20/Y19*1000</f>
        <v>29.247381878042805</v>
      </c>
      <c r="Z21" s="75">
        <f t="shared" si="11"/>
        <v>29.247381878042802</v>
      </c>
      <c r="AA21" s="75"/>
      <c r="AB21" s="50">
        <f t="shared" si="11"/>
        <v>28.098888411556228</v>
      </c>
      <c r="AC21" s="67">
        <f t="shared" si="11"/>
        <v>28.098908549028032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30.266691943237699</v>
      </c>
      <c r="AQ21" s="75">
        <f>+AQ20/AQ19*1000</f>
        <v>30.365188590233021</v>
      </c>
      <c r="AR21" s="75"/>
      <c r="AS21" s="51">
        <f>+AS20/AS19*1000</f>
        <v>30.266691943237703</v>
      </c>
      <c r="AT21" s="75">
        <f>+AT20/AT19*1000</f>
        <v>30.365188590233021</v>
      </c>
    </row>
    <row r="22" spans="2:47">
      <c r="B22" s="21" t="s">
        <v>31</v>
      </c>
      <c r="C22" s="19"/>
      <c r="D22" s="52">
        <f>+D19/D18</f>
        <v>0.13566064195930413</v>
      </c>
      <c r="E22" s="52">
        <f>+E19/E18</f>
        <v>135.66064195930414</v>
      </c>
      <c r="F22" s="52"/>
      <c r="G22" s="52">
        <f>+G19/G18</f>
        <v>0.13923643268099592</v>
      </c>
      <c r="H22" s="52">
        <f>+H19/H18</f>
        <v>0.13923643268099592</v>
      </c>
      <c r="I22" s="52"/>
      <c r="J22" s="52">
        <f>+J19/J18</f>
        <v>0.14203642094204166</v>
      </c>
      <c r="K22" s="52">
        <f>+K19/K18</f>
        <v>0.14203642094204166</v>
      </c>
      <c r="L22" s="52"/>
      <c r="M22" s="52">
        <f>+M19/M18</f>
        <v>0.13444264812868806</v>
      </c>
      <c r="N22" s="52">
        <f>+N19/N18</f>
        <v>0.13444264812868806</v>
      </c>
      <c r="O22" s="52"/>
      <c r="P22" s="52">
        <f>+P19/P18</f>
        <v>0.12788162273994783</v>
      </c>
      <c r="Q22" s="52">
        <f>+Q19/Q18</f>
        <v>0.12788162273994783</v>
      </c>
      <c r="R22" s="52"/>
      <c r="S22" s="52">
        <f>+S19/S18</f>
        <v>0.13894891314317162</v>
      </c>
      <c r="T22" s="52">
        <f>+T19/T18</f>
        <v>0.13894891314317162</v>
      </c>
      <c r="U22" s="52"/>
      <c r="V22" s="52">
        <f>+V19/V18</f>
        <v>0.14132889456402772</v>
      </c>
      <c r="W22" s="52">
        <f>+W19/W18</f>
        <v>0.14132889456402772</v>
      </c>
      <c r="X22" s="52"/>
      <c r="Y22" s="52">
        <f>+Y19/Y18</f>
        <v>0.13164422722242713</v>
      </c>
      <c r="Z22" s="52">
        <f>+Z19/Z18</f>
        <v>0.13164422722242713</v>
      </c>
      <c r="AA22" s="76"/>
      <c r="AB22" s="52">
        <f>+AB19/AB18</f>
        <v>0.13181383825871526</v>
      </c>
      <c r="AC22" s="52">
        <f>+AC19/AC18</f>
        <v>0.13181383825871526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0.13587935477255139</v>
      </c>
      <c r="AQ22" s="52">
        <f>+AQ19/AQ18</f>
        <v>0.15335419724293559</v>
      </c>
      <c r="AR22" s="76"/>
      <c r="AS22" s="52">
        <f>+AS19/AS18</f>
        <v>0.13587935477255136</v>
      </c>
      <c r="AT22" s="52">
        <f>+AT19/AT18</f>
        <v>0.15335419724293559</v>
      </c>
    </row>
    <row r="23" spans="2:47">
      <c r="B23" s="10" t="s">
        <v>26</v>
      </c>
      <c r="C23" s="10"/>
      <c r="D23" s="54">
        <f>+D20*1000/(D18*D21)*100</f>
        <v>13.566064195930414</v>
      </c>
      <c r="E23" s="54">
        <f>+E20*1000/(E18*E21)*100</f>
        <v>13566.064195930418</v>
      </c>
      <c r="F23" s="54"/>
      <c r="G23" s="54">
        <f>+G20*1000/(G18*G21)*100</f>
        <v>13.923643268099589</v>
      </c>
      <c r="H23" s="54">
        <f>+H20*1000/(H18*H21)*100</f>
        <v>13.923643268099589</v>
      </c>
      <c r="I23" s="54"/>
      <c r="J23" s="54">
        <f>+J20*1000/(J18*J21)*100</f>
        <v>14.203642094204168</v>
      </c>
      <c r="K23" s="54">
        <f>+K20*1000/(K18*K21)*100</f>
        <v>14.203642094204167</v>
      </c>
      <c r="L23" s="54"/>
      <c r="M23" s="54">
        <f>+M20*1000/(M18*M21)*100</f>
        <v>13.444264812868809</v>
      </c>
      <c r="N23" s="54">
        <f>+N20*1000/(N18*N21)*100</f>
        <v>13.444264812868806</v>
      </c>
      <c r="O23" s="54"/>
      <c r="P23" s="54">
        <f>+P20*1000/(P18*P21)*100</f>
        <v>12.788162273994786</v>
      </c>
      <c r="Q23" s="54">
        <f>+Q20*1000/(Q18*Q21)*100</f>
        <v>12.788162273994786</v>
      </c>
      <c r="R23" s="54"/>
      <c r="S23" s="54">
        <f>+S20*1000/(S18*S21)*100</f>
        <v>13.894891314317162</v>
      </c>
      <c r="T23" s="54">
        <f>+T20*1000/(T18*T21)*100</f>
        <v>13.894891314317162</v>
      </c>
      <c r="U23" s="54"/>
      <c r="V23" s="54">
        <f>+V20*1000/(V18*V21)*100</f>
        <v>14.132889456402772</v>
      </c>
      <c r="W23" s="54">
        <f>+W20*1000/(W18*W21)*100</f>
        <v>14.132889456402772</v>
      </c>
      <c r="X23" s="54"/>
      <c r="Y23" s="54">
        <f>+Y20*1000/(Y18*Y21)*100</f>
        <v>13.164422722242715</v>
      </c>
      <c r="Z23" s="54">
        <f>+Z20*1000/(Z18*Z21)*100</f>
        <v>13.164422722242714</v>
      </c>
      <c r="AA23" s="77"/>
      <c r="AB23" s="54">
        <f>+AB20*1000/(AB18*AB21)*100</f>
        <v>13.181383825871526</v>
      </c>
      <c r="AC23" s="54">
        <f>+AC20*1000/(AC18*AC21)*100</f>
        <v>13.181383825871526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13.587935477255137</v>
      </c>
      <c r="AQ23" s="54">
        <f>+AQ20*1000/(AQ18*AQ21)*100</f>
        <v>15.335419724293558</v>
      </c>
      <c r="AR23" s="77"/>
      <c r="AS23" s="54">
        <f>+AS20*1000/(AS18*AS21)*100</f>
        <v>13.587935477255137</v>
      </c>
      <c r="AT23" s="54">
        <f>+AT20*1000/(AT18*AT21)*100</f>
        <v>15.335419724293558</v>
      </c>
    </row>
    <row r="24" spans="2:47">
      <c r="B24" s="21" t="s">
        <v>44</v>
      </c>
      <c r="C24" s="10"/>
      <c r="D24" s="54">
        <f>+D20/D18*1000</f>
        <v>4.0304197585347632</v>
      </c>
      <c r="E24" s="54">
        <f>+E20/E18*1000</f>
        <v>4093.7209901677943</v>
      </c>
      <c r="F24" s="81"/>
      <c r="G24" s="54">
        <f>+G20/G18*1000</f>
        <v>4.1118720522346699</v>
      </c>
      <c r="H24" s="54">
        <f>+H20/H18*1000</f>
        <v>4.1670987373999235</v>
      </c>
      <c r="I24" s="81"/>
      <c r="J24" s="54">
        <f>+J20/J18*1000</f>
        <v>4.3883382945193485</v>
      </c>
      <c r="K24" s="54">
        <f>+K20/K18*1000</f>
        <v>4.3883391700227632</v>
      </c>
      <c r="L24" s="81"/>
      <c r="M24" s="54">
        <f>+M20/M18*1000</f>
        <v>4.1821994988279041</v>
      </c>
      <c r="N24" s="54">
        <f>+N20/N18*1000</f>
        <v>4.1822003071699942</v>
      </c>
      <c r="O24" s="81"/>
      <c r="P24" s="54">
        <f>+P20/P18*1000</f>
        <v>4.0149680669245296</v>
      </c>
      <c r="Q24" s="54">
        <f>+Q20/Q18*1000</f>
        <v>4.0157809660879735</v>
      </c>
      <c r="R24" s="81"/>
      <c r="S24" s="54">
        <f>+S20/S18*1000</f>
        <v>4.3805924974777586</v>
      </c>
      <c r="T24" s="54">
        <f>+T20/T18*1000</f>
        <v>4.3805934146565164</v>
      </c>
      <c r="U24" s="81"/>
      <c r="V24" s="54">
        <f>+V20/V18*1000</f>
        <v>4.3480390368478652</v>
      </c>
      <c r="W24" s="54">
        <f>+W20/W18*1000</f>
        <v>4.3480372126960969</v>
      </c>
      <c r="X24" s="81"/>
      <c r="Y24" s="54">
        <f>+Y20/Y18*1000</f>
        <v>3.8502489856141651</v>
      </c>
      <c r="Z24" s="54">
        <f>+Z20/Z18*1000</f>
        <v>3.8502489856141642</v>
      </c>
      <c r="AA24" s="54"/>
      <c r="AB24" s="54">
        <f>+AB20/AB18*1000</f>
        <v>3.7038223323305615</v>
      </c>
      <c r="AC24" s="54">
        <f>+AC20/AC18*1000</f>
        <v>3.7038249867280126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4.1126185723467179</v>
      </c>
      <c r="AQ24" s="54">
        <f>+AQ20/AQ18*1000</f>
        <v>4.6566291203855323</v>
      </c>
      <c r="AR24" s="77"/>
      <c r="AS24" s="54">
        <f>+AS20/AS18*1000</f>
        <v>4.1126185723467179</v>
      </c>
      <c r="AT24" s="54">
        <f>+AT20/AT18*1000</f>
        <v>4.6566291203855323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3</v>
      </c>
      <c r="I26" s="95">
        <v>3</v>
      </c>
      <c r="L26" s="95">
        <v>3</v>
      </c>
      <c r="O26" s="95">
        <v>3</v>
      </c>
      <c r="R26" s="95">
        <v>3</v>
      </c>
      <c r="U26" s="95">
        <v>4</v>
      </c>
      <c r="X26" s="95">
        <v>4</v>
      </c>
      <c r="Z26" s="78"/>
      <c r="AA26" s="95">
        <v>4</v>
      </c>
      <c r="AD26" s="95">
        <v>4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6.5555555555555554</v>
      </c>
      <c r="AU26" s="20">
        <f>+AR26</f>
        <v>6.5555555555555554</v>
      </c>
    </row>
    <row r="27" spans="2:47" ht="15" customHeight="1">
      <c r="B27" s="20" t="s">
        <v>36</v>
      </c>
      <c r="D27" s="11">
        <v>23</v>
      </c>
      <c r="E27" s="11"/>
      <c r="F27" s="11">
        <f>+D27/F26</f>
        <v>7.666666666666667</v>
      </c>
      <c r="G27" s="11">
        <v>4.5</v>
      </c>
      <c r="H27" s="11"/>
      <c r="I27" s="11">
        <f>+G27/I26</f>
        <v>1.5</v>
      </c>
      <c r="J27" s="11">
        <v>11</v>
      </c>
      <c r="K27" s="11"/>
      <c r="L27" s="11">
        <f>+J27/L26</f>
        <v>3.6666666666666665</v>
      </c>
      <c r="M27" s="11">
        <v>5</v>
      </c>
      <c r="N27" s="11"/>
      <c r="O27" s="11">
        <f>+M27/O26</f>
        <v>1.6666666666666667</v>
      </c>
      <c r="P27" s="11">
        <v>4</v>
      </c>
      <c r="Q27" s="11"/>
      <c r="R27" s="11">
        <f>+P27/R26</f>
        <v>1.3333333333333333</v>
      </c>
      <c r="S27" s="11">
        <v>6</v>
      </c>
      <c r="T27" s="11"/>
      <c r="U27" s="11">
        <f>+S27/U26</f>
        <v>1.5</v>
      </c>
      <c r="V27" s="11">
        <v>4</v>
      </c>
      <c r="W27" s="11"/>
      <c r="X27" s="11">
        <f>+V27/X26</f>
        <v>1</v>
      </c>
      <c r="Y27" s="11">
        <v>2</v>
      </c>
      <c r="Z27" s="74"/>
      <c r="AA27" s="11">
        <f>+Y27/AA26</f>
        <v>0.5</v>
      </c>
      <c r="AB27" s="11">
        <v>3</v>
      </c>
      <c r="AC27" s="11"/>
      <c r="AD27" s="11">
        <f>+AB27/AD26</f>
        <v>0.75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62.5</v>
      </c>
      <c r="AR27" s="11">
        <f>+AP27/AR26</f>
        <v>9.5338983050847457</v>
      </c>
      <c r="AS27" s="16">
        <f t="shared" ref="AS27:AS31" si="17">+AP27/$AS$4</f>
        <v>6.9444444444444446</v>
      </c>
      <c r="AU27" s="11">
        <f>+AS27/AU26</f>
        <v>1.0593220338983051</v>
      </c>
    </row>
    <row r="28" spans="2:47" ht="15" customHeight="1">
      <c r="B28" s="20" t="s">
        <v>39</v>
      </c>
      <c r="D28" s="11">
        <v>504</v>
      </c>
      <c r="E28" s="11"/>
      <c r="F28" s="11">
        <f>+D28/F26</f>
        <v>168</v>
      </c>
      <c r="G28" s="11">
        <v>480</v>
      </c>
      <c r="H28" s="11"/>
      <c r="I28" s="11">
        <f>+G28/I26</f>
        <v>160</v>
      </c>
      <c r="J28" s="11">
        <v>528</v>
      </c>
      <c r="K28" s="11"/>
      <c r="L28" s="11">
        <f>+J28/L26</f>
        <v>176</v>
      </c>
      <c r="M28" s="11">
        <v>504</v>
      </c>
      <c r="N28" s="11"/>
      <c r="O28" s="11">
        <f>+M28/O26</f>
        <v>168</v>
      </c>
      <c r="P28" s="11">
        <v>456</v>
      </c>
      <c r="Q28" s="11"/>
      <c r="R28" s="11">
        <f>+P28/R26</f>
        <v>152</v>
      </c>
      <c r="S28" s="11">
        <v>704</v>
      </c>
      <c r="T28" s="11"/>
      <c r="U28" s="11">
        <f>+S28/U26</f>
        <v>176</v>
      </c>
      <c r="V28" s="11">
        <v>704</v>
      </c>
      <c r="W28" s="11"/>
      <c r="X28" s="11">
        <f>+V28/X26</f>
        <v>176</v>
      </c>
      <c r="Y28" s="11">
        <v>672</v>
      </c>
      <c r="Z28" s="74"/>
      <c r="AA28" s="11">
        <f>+Y28/AA26</f>
        <v>168</v>
      </c>
      <c r="AB28" s="11">
        <v>672</v>
      </c>
      <c r="AC28" s="11"/>
      <c r="AD28" s="11">
        <f>+AB28/AD26</f>
        <v>168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5224</v>
      </c>
      <c r="AR28" s="11">
        <f>+AP28/AR26</f>
        <v>796.88135593220341</v>
      </c>
      <c r="AS28" s="16">
        <f t="shared" si="17"/>
        <v>580.44444444444446</v>
      </c>
      <c r="AU28" s="11">
        <f>+AS28/AU26</f>
        <v>88.542372881355931</v>
      </c>
    </row>
    <row r="29" spans="2:47" ht="15" customHeight="1">
      <c r="B29" s="21" t="s">
        <v>40</v>
      </c>
      <c r="D29" s="38">
        <f>+D27/D28</f>
        <v>4.5634920634920632E-2</v>
      </c>
      <c r="E29" s="8"/>
      <c r="F29" s="38">
        <f>+F27/F28</f>
        <v>4.5634920634920639E-2</v>
      </c>
      <c r="G29" s="38">
        <f>+G27/G28</f>
        <v>9.3749999999999997E-3</v>
      </c>
      <c r="H29" s="8"/>
      <c r="I29" s="38">
        <f>+I27/I28</f>
        <v>9.3749999999999997E-3</v>
      </c>
      <c r="J29" s="38">
        <f>+J27/J28</f>
        <v>2.0833333333333332E-2</v>
      </c>
      <c r="K29" s="8"/>
      <c r="L29" s="38">
        <f>+L27/L28</f>
        <v>2.0833333333333332E-2</v>
      </c>
      <c r="M29" s="38">
        <f>+M27/M28</f>
        <v>9.9206349206349201E-3</v>
      </c>
      <c r="N29" s="8"/>
      <c r="O29" s="38">
        <f>+O27/O28</f>
        <v>9.9206349206349218E-3</v>
      </c>
      <c r="P29" s="38">
        <f>+P27/P28</f>
        <v>8.771929824561403E-3</v>
      </c>
      <c r="Q29" s="8"/>
      <c r="R29" s="38">
        <f>+R27/R28</f>
        <v>8.771929824561403E-3</v>
      </c>
      <c r="S29" s="38">
        <f>+S27/S28</f>
        <v>8.5227272727272721E-3</v>
      </c>
      <c r="T29" s="8"/>
      <c r="U29" s="38">
        <f>+U27/U28</f>
        <v>8.5227272727272721E-3</v>
      </c>
      <c r="V29" s="38">
        <f>+V27/V28</f>
        <v>5.681818181818182E-3</v>
      </c>
      <c r="W29" s="8"/>
      <c r="X29" s="38">
        <f>+X27/X28</f>
        <v>5.681818181818182E-3</v>
      </c>
      <c r="Y29" s="38">
        <f>+Y27/Y28</f>
        <v>2.976190476190476E-3</v>
      </c>
      <c r="Z29" s="74"/>
      <c r="AA29" s="38">
        <f>+AA27/AA28</f>
        <v>2.976190476190476E-3</v>
      </c>
      <c r="AB29" s="38">
        <f>+AB27/AB28</f>
        <v>4.464285714285714E-3</v>
      </c>
      <c r="AC29" s="8"/>
      <c r="AD29" s="38">
        <f>+AD27/AD28</f>
        <v>4.464285714285714E-3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1.1964012251148546E-2</v>
      </c>
      <c r="AR29" s="38">
        <f>+AR27/AR28</f>
        <v>1.1964012251148544E-2</v>
      </c>
      <c r="AS29" s="38">
        <f>+AS27/AS28</f>
        <v>1.1964012251148546E-2</v>
      </c>
      <c r="AU29" s="38">
        <f>+AU27/AU28</f>
        <v>1.1964012251148546E-2</v>
      </c>
    </row>
    <row r="30" spans="2:47" ht="15" customHeight="1">
      <c r="B30" s="20" t="s">
        <v>32</v>
      </c>
      <c r="D30" s="11">
        <v>140.01</v>
      </c>
      <c r="E30" s="11"/>
      <c r="F30" s="11">
        <f>+D30/F26</f>
        <v>46.669999999999995</v>
      </c>
      <c r="G30" s="11">
        <v>25.02</v>
      </c>
      <c r="H30" s="11"/>
      <c r="I30" s="11">
        <f>+G30/I26</f>
        <v>8.34</v>
      </c>
      <c r="J30" s="11">
        <v>20</v>
      </c>
      <c r="K30" s="11"/>
      <c r="L30" s="11">
        <f>+J30/L26</f>
        <v>6.666666666666667</v>
      </c>
      <c r="M30" s="11">
        <v>5</v>
      </c>
      <c r="N30" s="11"/>
      <c r="O30" s="11">
        <f>+M30/O26</f>
        <v>1.6666666666666667</v>
      </c>
      <c r="P30" s="11">
        <v>80</v>
      </c>
      <c r="Q30" s="11"/>
      <c r="R30" s="11">
        <f>+P30/R26</f>
        <v>26.666666666666668</v>
      </c>
      <c r="S30" s="11">
        <v>15</v>
      </c>
      <c r="T30" s="11"/>
      <c r="U30" s="11">
        <f>+S30/U26</f>
        <v>3.75</v>
      </c>
      <c r="V30" s="11">
        <v>15.27</v>
      </c>
      <c r="W30" s="11"/>
      <c r="X30" s="11">
        <f>+V30/X26</f>
        <v>3.8174999999999999</v>
      </c>
      <c r="Y30" s="11">
        <v>5.0199999999999996</v>
      </c>
      <c r="Z30" s="74"/>
      <c r="AA30" s="11">
        <f>+Y30/AA26</f>
        <v>1.2549999999999999</v>
      </c>
      <c r="AB30" s="11">
        <v>10</v>
      </c>
      <c r="AC30" s="11"/>
      <c r="AD30" s="11">
        <f>+AB30/AD26</f>
        <v>2.5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315.32</v>
      </c>
      <c r="AR30" s="11">
        <f>+AP30/AR26</f>
        <v>48.099661016949156</v>
      </c>
      <c r="AS30" s="16">
        <f t="shared" si="17"/>
        <v>35.035555555555554</v>
      </c>
      <c r="AU30" s="11">
        <f>+AS30/AU26</f>
        <v>5.3444067796610168</v>
      </c>
    </row>
    <row r="31" spans="2:47" ht="15" customHeight="1">
      <c r="B31" s="20" t="s">
        <v>33</v>
      </c>
      <c r="D31" s="11">
        <v>4.2332999999999998</v>
      </c>
      <c r="E31" s="27"/>
      <c r="F31" s="11">
        <f>+D31/F26</f>
        <v>1.4111</v>
      </c>
      <c r="G31" s="11">
        <v>0.74799000000000004</v>
      </c>
      <c r="H31" s="27"/>
      <c r="I31" s="11">
        <f>+G31/I26</f>
        <v>0.24933000000000002</v>
      </c>
      <c r="J31" s="11">
        <v>0.628</v>
      </c>
      <c r="K31" s="27"/>
      <c r="L31" s="11">
        <f>+J31/L26</f>
        <v>0.20933333333333334</v>
      </c>
      <c r="M31" s="11">
        <v>0.15601000000000001</v>
      </c>
      <c r="N31" s="27"/>
      <c r="O31" s="11">
        <f>+M31/O26</f>
        <v>5.2003333333333339E-2</v>
      </c>
      <c r="P31" s="11">
        <v>2.5206</v>
      </c>
      <c r="Q31" s="27"/>
      <c r="R31" s="11">
        <f>+P31/R26</f>
        <v>0.84019999999999995</v>
      </c>
      <c r="S31" s="11">
        <v>0.47400999999999999</v>
      </c>
      <c r="T31" s="27"/>
      <c r="U31" s="11">
        <f>+S31/U26</f>
        <v>0.1185025</v>
      </c>
      <c r="V31" s="11">
        <v>0.4657</v>
      </c>
      <c r="W31" s="27"/>
      <c r="X31" s="11">
        <f>+V31/X26</f>
        <v>0.116425</v>
      </c>
      <c r="Y31" s="11">
        <v>0.14760000000000001</v>
      </c>
      <c r="Z31" s="74"/>
      <c r="AA31" s="11">
        <f>+Y31/AA26</f>
        <v>3.6900000000000002E-2</v>
      </c>
      <c r="AB31" s="11">
        <v>0.28499999999999998</v>
      </c>
      <c r="AC31" s="27"/>
      <c r="AD31" s="11">
        <f>+AB31/AD26</f>
        <v>7.1249999999999994E-2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9.6582100000000004</v>
      </c>
      <c r="AR31" s="11">
        <f>+AP31/AR26</f>
        <v>1.4732862711864407</v>
      </c>
      <c r="AS31" s="16">
        <f t="shared" si="17"/>
        <v>1.0731344444444444</v>
      </c>
      <c r="AU31" s="11">
        <f>+AS31/AU26</f>
        <v>0.16369847457627118</v>
      </c>
    </row>
    <row r="32" spans="2:47" ht="15" customHeight="1">
      <c r="B32" s="21" t="s">
        <v>34</v>
      </c>
      <c r="D32" s="50">
        <f>+D31/D30*1000</f>
        <v>30.23569745018213</v>
      </c>
      <c r="G32" s="50">
        <f>+G31/G30*1000</f>
        <v>29.895683453237414</v>
      </c>
      <c r="J32" s="50">
        <f>+J31/J30*1000</f>
        <v>31.4</v>
      </c>
      <c r="M32" s="50">
        <f>+M31/M30*1000</f>
        <v>31.202000000000002</v>
      </c>
      <c r="P32" s="50">
        <f>+P31/P30*1000</f>
        <v>31.5075</v>
      </c>
      <c r="S32" s="50">
        <f>+S31/S30*1000</f>
        <v>31.600666666666665</v>
      </c>
      <c r="V32" s="50">
        <f>+V31/V30*1000</f>
        <v>30.497707924034053</v>
      </c>
      <c r="Y32" s="50">
        <f>+Y31/Y30*1000</f>
        <v>29.402390438247014</v>
      </c>
      <c r="Z32" s="78"/>
      <c r="AA32" s="78"/>
      <c r="AB32" s="50">
        <f>+AB31/AB30*1000</f>
        <v>28.499999999999996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30.629868070531526</v>
      </c>
      <c r="AS32" s="50">
        <f>+AS31/AS30*1000</f>
        <v>30.629868070531522</v>
      </c>
    </row>
    <row r="33" spans="2:46" ht="15" customHeight="1">
      <c r="B33" s="21" t="s">
        <v>35</v>
      </c>
      <c r="D33" s="52">
        <f>+D30/D27</f>
        <v>6.0873913043478254</v>
      </c>
      <c r="G33" s="52">
        <f>+G30/G27</f>
        <v>5.56</v>
      </c>
      <c r="J33" s="52">
        <f>+J30/J27</f>
        <v>1.8181818181818181</v>
      </c>
      <c r="M33" s="52">
        <f>+M30/M27</f>
        <v>1</v>
      </c>
      <c r="P33" s="52">
        <f>+P30/P27</f>
        <v>20</v>
      </c>
      <c r="S33" s="52">
        <f>+S30/S27</f>
        <v>2.5</v>
      </c>
      <c r="V33" s="52">
        <f>+V30/V27</f>
        <v>3.8174999999999999</v>
      </c>
      <c r="Y33" s="52">
        <f>+Y30/Y27</f>
        <v>2.5099999999999998</v>
      </c>
      <c r="Z33" s="70"/>
      <c r="AA33" s="70"/>
      <c r="AB33" s="52">
        <f>+AB30/AB27</f>
        <v>3.3333333333333335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5.0451199999999998</v>
      </c>
      <c r="AS33" s="52">
        <f>+AS30/AS27</f>
        <v>5.0451199999999998</v>
      </c>
    </row>
    <row r="34" spans="2:46" ht="15" customHeight="1">
      <c r="B34" s="10" t="s">
        <v>37</v>
      </c>
      <c r="D34" s="54">
        <f>+D31*1000/(D27*D32)*100</f>
        <v>608.73913043478262</v>
      </c>
      <c r="G34" s="54">
        <f>+G31*1000/(G27*G32)*100</f>
        <v>556</v>
      </c>
      <c r="J34" s="54">
        <f>+J31*1000/(J27*J32)*100</f>
        <v>181.81818181818184</v>
      </c>
      <c r="M34" s="54">
        <f>+M31*1000/(M27*M32)*100</f>
        <v>100</v>
      </c>
      <c r="P34" s="54">
        <f>+P31*1000/(P27*P32)*100</f>
        <v>2000</v>
      </c>
      <c r="S34" s="54">
        <f>+S31*1000/(S27*S32)*100</f>
        <v>250</v>
      </c>
      <c r="V34" s="54">
        <f>+V31*1000/(V27*V32)*100</f>
        <v>381.75</v>
      </c>
      <c r="Y34" s="54">
        <f>+Y31*1000/(Y27*Y32)*100</f>
        <v>251.00000000000003</v>
      </c>
      <c r="Z34" s="70"/>
      <c r="AA34" s="70"/>
      <c r="AB34" s="54">
        <f>+AB31*1000/(AB27*AB32)*100</f>
        <v>333.33333333333337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504.512</v>
      </c>
      <c r="AS34" s="54">
        <f>+AS31*1000/(AS27*AS32)*100</f>
        <v>504.512</v>
      </c>
    </row>
    <row r="35" spans="2:46" ht="15" customHeight="1">
      <c r="B35" s="21" t="s">
        <v>45</v>
      </c>
      <c r="C35" s="10"/>
      <c r="D35" s="54">
        <f>+D31/D27*1000</f>
        <v>184.05652173913043</v>
      </c>
      <c r="E35" s="54"/>
      <c r="G35" s="54">
        <f>+G31/G27*1000</f>
        <v>166.22</v>
      </c>
      <c r="H35" s="54"/>
      <c r="J35" s="54">
        <f>+J31/J27*1000</f>
        <v>57.090909090909086</v>
      </c>
      <c r="K35" s="54"/>
      <c r="M35" s="54">
        <f>+M31/M27*1000</f>
        <v>31.202000000000002</v>
      </c>
      <c r="N35" s="54"/>
      <c r="P35" s="54">
        <f>+P31/P27*1000</f>
        <v>630.15</v>
      </c>
      <c r="Q35" s="54"/>
      <c r="S35" s="54">
        <f>+S31/S27*1000</f>
        <v>79.001666666666665</v>
      </c>
      <c r="T35" s="54"/>
      <c r="V35" s="54">
        <f>+V31/V27*1000</f>
        <v>116.425</v>
      </c>
      <c r="W35" s="54"/>
      <c r="Y35" s="54">
        <f>+Y31/Y27*1000</f>
        <v>73.800000000000011</v>
      </c>
      <c r="Z35" s="70"/>
      <c r="AA35" s="70"/>
      <c r="AB35" s="54">
        <f>+AB31/AB27*1000</f>
        <v>94.999999999999986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154.53136000000001</v>
      </c>
      <c r="AS35" s="54">
        <f>+AS31/AS27*1000</f>
        <v>154.53135999999998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802.03360388056694</v>
      </c>
      <c r="G37" s="24">
        <f>+G8/(1-G6/G5)</f>
        <v>801.33831581996242</v>
      </c>
      <c r="J37" s="24">
        <f>+J8/(1-J6/J5)</f>
        <v>780.08344627496047</v>
      </c>
      <c r="M37" s="24">
        <f>+M8/(1-M6/M5)</f>
        <v>739.53925421207316</v>
      </c>
      <c r="P37" s="24">
        <f>+P8/(1-P6/P5)</f>
        <v>785.06141500278397</v>
      </c>
      <c r="S37" s="24">
        <f>+S8/(1-S6/S5)</f>
        <v>883.61690401813723</v>
      </c>
      <c r="V37" s="24">
        <f>+V8/(1-V6/V5)</f>
        <v>1078.0874672544637</v>
      </c>
      <c r="Y37" s="24">
        <f>+Y8/(1-Y6/Y5)</f>
        <v>729.89500459847363</v>
      </c>
      <c r="Z37" s="70"/>
      <c r="AA37" s="70"/>
      <c r="AB37" s="24">
        <f>+AB8/(1-AB6/AB5)</f>
        <v>792.62658484099677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7383.3998435220192</v>
      </c>
      <c r="AQ37" s="36"/>
      <c r="AR37" s="36"/>
      <c r="AS37" s="36">
        <f>+AS8/(1-AS6/AS5)</f>
        <v>820.37776039133553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2015-01-28T13:16:01Z</cp:lastPrinted>
  <dcterms:created xsi:type="dcterms:W3CDTF">2014-10-14T11:21:48Z</dcterms:created>
  <dcterms:modified xsi:type="dcterms:W3CDTF">2015-10-23T09:21:40Z</dcterms:modified>
</cp:coreProperties>
</file>