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4040" windowHeight="10590" activeTab="3"/>
  </bookViews>
  <sheets>
    <sheet name="CoY" sheetId="5" r:id="rId1"/>
    <sheet name="CoM" sheetId="6" r:id="rId2"/>
    <sheet name="2014" sheetId="7" r:id="rId3"/>
    <sheet name="2015" sheetId="1" r:id="rId4"/>
  </sheets>
  <definedNames>
    <definedName name="_xlnm.Print_Area" localSheetId="2">'2014'!$A$1:$AQ$26</definedName>
    <definedName name="_xlnm.Print_Area" localSheetId="3">'2015'!$A$1:$AQ$26</definedName>
    <definedName name="_xlnm.Print_Area" localSheetId="1">CoM!$A$1:$M$26</definedName>
    <definedName name="_xlnm.Print_Area" localSheetId="0">CoY!$B$1:$M$26</definedName>
  </definedNames>
  <calcPr calcId="125725"/>
</workbook>
</file>

<file path=xl/calcChain.xml><?xml version="1.0" encoding="utf-8"?>
<calcChain xmlns="http://schemas.openxmlformats.org/spreadsheetml/2006/main">
  <c r="V6" i="1"/>
  <c r="V8" i="7"/>
  <c r="V6"/>
  <c r="H20" i="6"/>
  <c r="H19"/>
  <c r="H18"/>
  <c r="G20"/>
  <c r="G19"/>
  <c r="G18"/>
  <c r="G12"/>
  <c r="G11"/>
  <c r="G8"/>
  <c r="G6"/>
  <c r="G5"/>
  <c r="E20"/>
  <c r="E19"/>
  <c r="E18"/>
  <c r="D20"/>
  <c r="D19"/>
  <c r="D18"/>
  <c r="D12"/>
  <c r="D11"/>
  <c r="D8"/>
  <c r="D6"/>
  <c r="D5"/>
  <c r="S5" i="1"/>
  <c r="S6"/>
  <c r="S8" i="7"/>
  <c r="I4" i="6"/>
  <c r="F4"/>
  <c r="P6" i="7"/>
  <c r="P8" i="1"/>
  <c r="P6"/>
  <c r="M8" i="7"/>
  <c r="M6"/>
  <c r="M6" i="1"/>
  <c r="J6"/>
  <c r="D20"/>
  <c r="G8"/>
  <c r="G6"/>
  <c r="G12" i="7"/>
  <c r="G8"/>
  <c r="G6"/>
  <c r="D8" i="1"/>
  <c r="D6"/>
  <c r="AK26" i="7" l="1"/>
  <c r="AH26"/>
  <c r="AE26"/>
  <c r="AB26"/>
  <c r="Y26"/>
  <c r="V26"/>
  <c r="S26"/>
  <c r="P26"/>
  <c r="M26"/>
  <c r="J26"/>
  <c r="G26"/>
  <c r="D26"/>
  <c r="AL24"/>
  <c r="AK24"/>
  <c r="AI24"/>
  <c r="AH24"/>
  <c r="AF24"/>
  <c r="AE24"/>
  <c r="AC24"/>
  <c r="AB24"/>
  <c r="Z24"/>
  <c r="Y24"/>
  <c r="W24"/>
  <c r="V24"/>
  <c r="T24"/>
  <c r="S24"/>
  <c r="Q24"/>
  <c r="P24"/>
  <c r="N24"/>
  <c r="M24"/>
  <c r="K24"/>
  <c r="J24"/>
  <c r="H24"/>
  <c r="G24"/>
  <c r="E24"/>
  <c r="D24"/>
  <c r="AL22"/>
  <c r="AK22"/>
  <c r="AI22"/>
  <c r="AH22"/>
  <c r="AF22"/>
  <c r="AE22"/>
  <c r="AC22"/>
  <c r="AB22"/>
  <c r="Z22"/>
  <c r="Y22"/>
  <c r="W22"/>
  <c r="V22"/>
  <c r="T22"/>
  <c r="S22"/>
  <c r="Q22"/>
  <c r="P22"/>
  <c r="N22"/>
  <c r="M22"/>
  <c r="K22"/>
  <c r="J22"/>
  <c r="H22"/>
  <c r="G22"/>
  <c r="E22"/>
  <c r="D22"/>
  <c r="AL21"/>
  <c r="AL23" s="1"/>
  <c r="AK21"/>
  <c r="AK23" s="1"/>
  <c r="AI21"/>
  <c r="AI23" s="1"/>
  <c r="AH21"/>
  <c r="AH23" s="1"/>
  <c r="AF21"/>
  <c r="AF23" s="1"/>
  <c r="AE21"/>
  <c r="AE23" s="1"/>
  <c r="AC21"/>
  <c r="AC23" s="1"/>
  <c r="AB21"/>
  <c r="AB23" s="1"/>
  <c r="Z21"/>
  <c r="Z23" s="1"/>
  <c r="Y21"/>
  <c r="Y23" s="1"/>
  <c r="W21"/>
  <c r="W23" s="1"/>
  <c r="V21"/>
  <c r="V23" s="1"/>
  <c r="T21"/>
  <c r="T23" s="1"/>
  <c r="S21"/>
  <c r="S23" s="1"/>
  <c r="Q21"/>
  <c r="Q23" s="1"/>
  <c r="P21"/>
  <c r="P23" s="1"/>
  <c r="N21"/>
  <c r="N23" s="1"/>
  <c r="M21"/>
  <c r="M23" s="1"/>
  <c r="K21"/>
  <c r="K23" s="1"/>
  <c r="J21"/>
  <c r="J23" s="1"/>
  <c r="H21"/>
  <c r="H23" s="1"/>
  <c r="G21"/>
  <c r="G23" s="1"/>
  <c r="E21"/>
  <c r="E23" s="1"/>
  <c r="D21"/>
  <c r="D23" s="1"/>
  <c r="AQ20"/>
  <c r="E20" i="5" s="1"/>
  <c r="AP20" i="7"/>
  <c r="AM20"/>
  <c r="AJ20"/>
  <c r="AG20"/>
  <c r="AD20"/>
  <c r="AA20"/>
  <c r="X20"/>
  <c r="U20"/>
  <c r="R20"/>
  <c r="O20"/>
  <c r="L20"/>
  <c r="I20"/>
  <c r="F20"/>
  <c r="AQ19"/>
  <c r="AP19"/>
  <c r="AM19"/>
  <c r="AJ19"/>
  <c r="AG19"/>
  <c r="AD19"/>
  <c r="AA19"/>
  <c r="X19"/>
  <c r="U19"/>
  <c r="R19"/>
  <c r="O19"/>
  <c r="L19"/>
  <c r="I19"/>
  <c r="F19"/>
  <c r="AQ18"/>
  <c r="E18" i="5" s="1"/>
  <c r="AP18" i="7"/>
  <c r="AM18"/>
  <c r="AJ18"/>
  <c r="AG18"/>
  <c r="AD18"/>
  <c r="AA18"/>
  <c r="X18"/>
  <c r="U18"/>
  <c r="R18"/>
  <c r="O18"/>
  <c r="L18"/>
  <c r="I18"/>
  <c r="F18"/>
  <c r="AH16"/>
  <c r="AB16"/>
  <c r="AK15"/>
  <c r="AH15"/>
  <c r="AE15"/>
  <c r="AB15"/>
  <c r="Y15"/>
  <c r="V15"/>
  <c r="S15"/>
  <c r="P15"/>
  <c r="M15"/>
  <c r="J15"/>
  <c r="G15"/>
  <c r="D15"/>
  <c r="AK14"/>
  <c r="AH14"/>
  <c r="AE14"/>
  <c r="AB14"/>
  <c r="Y14"/>
  <c r="V14"/>
  <c r="S14"/>
  <c r="P14"/>
  <c r="M14"/>
  <c r="J14"/>
  <c r="G14"/>
  <c r="D14"/>
  <c r="AK13"/>
  <c r="AH13"/>
  <c r="AE13"/>
  <c r="AB13"/>
  <c r="Y13"/>
  <c r="V13"/>
  <c r="S13"/>
  <c r="P13"/>
  <c r="M13"/>
  <c r="J13"/>
  <c r="G13"/>
  <c r="D13"/>
  <c r="AP12"/>
  <c r="AM12"/>
  <c r="AJ12"/>
  <c r="AG12"/>
  <c r="AD12"/>
  <c r="AA12"/>
  <c r="X12"/>
  <c r="U12"/>
  <c r="R12"/>
  <c r="O12"/>
  <c r="L12"/>
  <c r="I12"/>
  <c r="F12"/>
  <c r="AP11"/>
  <c r="AS11" s="1"/>
  <c r="AM11"/>
  <c r="AJ11"/>
  <c r="AG11"/>
  <c r="AD11"/>
  <c r="AA11"/>
  <c r="X11"/>
  <c r="U11"/>
  <c r="R11"/>
  <c r="O11"/>
  <c r="L11"/>
  <c r="I11"/>
  <c r="F11"/>
  <c r="AK9"/>
  <c r="AL9" s="1"/>
  <c r="AI9"/>
  <c r="AH9"/>
  <c r="AE9"/>
  <c r="AF9" s="1"/>
  <c r="AC9"/>
  <c r="AB9"/>
  <c r="Y9"/>
  <c r="Z9" s="1"/>
  <c r="V9"/>
  <c r="W9" s="1"/>
  <c r="S9"/>
  <c r="T9" s="1"/>
  <c r="P9"/>
  <c r="Q9" s="1"/>
  <c r="M9"/>
  <c r="N9" s="1"/>
  <c r="J9"/>
  <c r="K9" s="1"/>
  <c r="G9"/>
  <c r="H9" s="1"/>
  <c r="D9"/>
  <c r="E9" s="1"/>
  <c r="AP8"/>
  <c r="AM8"/>
  <c r="AL8"/>
  <c r="AJ8"/>
  <c r="AI8"/>
  <c r="AG8"/>
  <c r="AF8"/>
  <c r="AD8"/>
  <c r="AC8"/>
  <c r="AA8"/>
  <c r="Z8"/>
  <c r="X8"/>
  <c r="W8"/>
  <c r="U8"/>
  <c r="T8"/>
  <c r="R8"/>
  <c r="Q8"/>
  <c r="O8"/>
  <c r="N8"/>
  <c r="L8"/>
  <c r="K8"/>
  <c r="I8"/>
  <c r="H8"/>
  <c r="F8"/>
  <c r="E8"/>
  <c r="AK7"/>
  <c r="AK16" s="1"/>
  <c r="AI7"/>
  <c r="AH7"/>
  <c r="AE7"/>
  <c r="AE16" s="1"/>
  <c r="AC7"/>
  <c r="AB7"/>
  <c r="Y7"/>
  <c r="Y16" s="1"/>
  <c r="V7"/>
  <c r="D7" i="6" s="1"/>
  <c r="S7" i="7"/>
  <c r="P7"/>
  <c r="M7"/>
  <c r="J7"/>
  <c r="G7"/>
  <c r="G16" s="1"/>
  <c r="E7"/>
  <c r="D7"/>
  <c r="D16" s="1"/>
  <c r="AP6"/>
  <c r="AM6"/>
  <c r="AL6"/>
  <c r="AJ6"/>
  <c r="AI6"/>
  <c r="AG6"/>
  <c r="AF6"/>
  <c r="AD6"/>
  <c r="AC6"/>
  <c r="AA6"/>
  <c r="Z6"/>
  <c r="X6"/>
  <c r="W6"/>
  <c r="U6"/>
  <c r="T6"/>
  <c r="R6"/>
  <c r="Q6"/>
  <c r="O6"/>
  <c r="N6"/>
  <c r="L6"/>
  <c r="K6"/>
  <c r="I6"/>
  <c r="H6"/>
  <c r="F6"/>
  <c r="E6"/>
  <c r="AP5"/>
  <c r="AQ5" s="1"/>
  <c r="AM5"/>
  <c r="AM9" s="1"/>
  <c r="AL5"/>
  <c r="AJ5"/>
  <c r="AJ9" s="1"/>
  <c r="AI5"/>
  <c r="AG5"/>
  <c r="AG9" s="1"/>
  <c r="AF5"/>
  <c r="AD5"/>
  <c r="AD9" s="1"/>
  <c r="AC5"/>
  <c r="AA5"/>
  <c r="AA9" s="1"/>
  <c r="Z5"/>
  <c r="X5"/>
  <c r="X9" s="1"/>
  <c r="W5"/>
  <c r="U5"/>
  <c r="U9" s="1"/>
  <c r="T5"/>
  <c r="R5"/>
  <c r="Q5"/>
  <c r="O5"/>
  <c r="O9" s="1"/>
  <c r="N5"/>
  <c r="L5"/>
  <c r="L9" s="1"/>
  <c r="K5"/>
  <c r="I5"/>
  <c r="I9" s="1"/>
  <c r="H5"/>
  <c r="F5"/>
  <c r="F9" s="1"/>
  <c r="E5"/>
  <c r="AR4"/>
  <c r="F4" i="5" s="1"/>
  <c r="F20" i="1"/>
  <c r="F19"/>
  <c r="F18"/>
  <c r="I20"/>
  <c r="I19"/>
  <c r="I18"/>
  <c r="L20"/>
  <c r="L19"/>
  <c r="L18"/>
  <c r="O20"/>
  <c r="O19"/>
  <c r="O18"/>
  <c r="R20"/>
  <c r="R19"/>
  <c r="R18"/>
  <c r="U20"/>
  <c r="U19"/>
  <c r="U18"/>
  <c r="X20"/>
  <c r="X19"/>
  <c r="X18"/>
  <c r="AR4"/>
  <c r="AQ20"/>
  <c r="AQ19"/>
  <c r="AQ18"/>
  <c r="AP20"/>
  <c r="AP19"/>
  <c r="AP18"/>
  <c r="AP12"/>
  <c r="AP11"/>
  <c r="AS11" s="1"/>
  <c r="AP8"/>
  <c r="AP6"/>
  <c r="AP5"/>
  <c r="M7"/>
  <c r="E24"/>
  <c r="D24"/>
  <c r="E22"/>
  <c r="D22"/>
  <c r="E21"/>
  <c r="E23" s="1"/>
  <c r="D21"/>
  <c r="D23" s="1"/>
  <c r="D15"/>
  <c r="D14"/>
  <c r="D13"/>
  <c r="F12"/>
  <c r="F11"/>
  <c r="D9"/>
  <c r="E9" s="1"/>
  <c r="E8"/>
  <c r="F8"/>
  <c r="D7"/>
  <c r="E7" s="1"/>
  <c r="F6"/>
  <c r="E6"/>
  <c r="F5"/>
  <c r="F9" s="1"/>
  <c r="E5"/>
  <c r="H24"/>
  <c r="G24"/>
  <c r="H22"/>
  <c r="G22"/>
  <c r="H21"/>
  <c r="H23" s="1"/>
  <c r="G21"/>
  <c r="G23" s="1"/>
  <c r="G15"/>
  <c r="G14"/>
  <c r="G13"/>
  <c r="I12"/>
  <c r="I11"/>
  <c r="G9"/>
  <c r="H9" s="1"/>
  <c r="H8"/>
  <c r="I8"/>
  <c r="G7"/>
  <c r="H7" s="1"/>
  <c r="I6"/>
  <c r="H6"/>
  <c r="I5"/>
  <c r="I7" s="1"/>
  <c r="H5"/>
  <c r="K24"/>
  <c r="J24"/>
  <c r="K22"/>
  <c r="J22"/>
  <c r="K21"/>
  <c r="K23" s="1"/>
  <c r="J21"/>
  <c r="J23" s="1"/>
  <c r="J15"/>
  <c r="J14"/>
  <c r="J13"/>
  <c r="L12"/>
  <c r="L11"/>
  <c r="J9"/>
  <c r="K9" s="1"/>
  <c r="K8"/>
  <c r="L8"/>
  <c r="J7"/>
  <c r="L6"/>
  <c r="K6"/>
  <c r="L5"/>
  <c r="L9" s="1"/>
  <c r="K5"/>
  <c r="N24"/>
  <c r="M24"/>
  <c r="N22"/>
  <c r="M22"/>
  <c r="N21"/>
  <c r="N23" s="1"/>
  <c r="M21"/>
  <c r="M23" s="1"/>
  <c r="M15"/>
  <c r="M14"/>
  <c r="M13"/>
  <c r="O12"/>
  <c r="O11"/>
  <c r="M9"/>
  <c r="N9" s="1"/>
  <c r="N8"/>
  <c r="O8"/>
  <c r="N7"/>
  <c r="O6"/>
  <c r="N6"/>
  <c r="O5"/>
  <c r="O9" s="1"/>
  <c r="N5"/>
  <c r="Q24"/>
  <c r="P24"/>
  <c r="Q22"/>
  <c r="P22"/>
  <c r="Q21"/>
  <c r="Q23" s="1"/>
  <c r="P21"/>
  <c r="P23" s="1"/>
  <c r="P15"/>
  <c r="P14"/>
  <c r="P13"/>
  <c r="R12"/>
  <c r="R11"/>
  <c r="P9"/>
  <c r="Q9" s="1"/>
  <c r="Q8"/>
  <c r="R8"/>
  <c r="P7"/>
  <c r="R6"/>
  <c r="Q6"/>
  <c r="R5"/>
  <c r="R7" s="1"/>
  <c r="Q5"/>
  <c r="T24"/>
  <c r="S24"/>
  <c r="T22"/>
  <c r="S22"/>
  <c r="T21"/>
  <c r="T23" s="1"/>
  <c r="S21"/>
  <c r="S23" s="1"/>
  <c r="S15"/>
  <c r="S14"/>
  <c r="S13"/>
  <c r="U12"/>
  <c r="U11"/>
  <c r="S9"/>
  <c r="T8"/>
  <c r="U8"/>
  <c r="S7"/>
  <c r="U6"/>
  <c r="T6"/>
  <c r="U5"/>
  <c r="U9" s="1"/>
  <c r="T5"/>
  <c r="W24"/>
  <c r="V24"/>
  <c r="W22"/>
  <c r="V22"/>
  <c r="W21"/>
  <c r="W23" s="1"/>
  <c r="V21"/>
  <c r="V23" s="1"/>
  <c r="V15"/>
  <c r="V14"/>
  <c r="V13"/>
  <c r="W8"/>
  <c r="V26"/>
  <c r="V7"/>
  <c r="W6"/>
  <c r="W5"/>
  <c r="Y24"/>
  <c r="Y22"/>
  <c r="Y21"/>
  <c r="Y23" s="1"/>
  <c r="Y15"/>
  <c r="Y14"/>
  <c r="Y13"/>
  <c r="Y9"/>
  <c r="Z9" s="1"/>
  <c r="Y7"/>
  <c r="Y16" s="1"/>
  <c r="Z6"/>
  <c r="Z5"/>
  <c r="V16" l="1"/>
  <c r="G7" i="6"/>
  <c r="W7" i="7"/>
  <c r="V16"/>
  <c r="T9" i="1"/>
  <c r="T7"/>
  <c r="S16" i="7"/>
  <c r="R9"/>
  <c r="Q7"/>
  <c r="P16"/>
  <c r="Q7" i="1"/>
  <c r="M16" i="7"/>
  <c r="K7"/>
  <c r="J16"/>
  <c r="K7" i="1"/>
  <c r="AT18" i="7"/>
  <c r="AT20"/>
  <c r="AQ22"/>
  <c r="E19" i="5"/>
  <c r="AT19" i="7"/>
  <c r="AT22" s="1"/>
  <c r="AS19"/>
  <c r="D19" i="5"/>
  <c r="AQ24" i="7"/>
  <c r="AS18"/>
  <c r="D18" i="5"/>
  <c r="AU4" i="7"/>
  <c r="AU18" s="1"/>
  <c r="AS20"/>
  <c r="AS21" s="1"/>
  <c r="AS23" s="1"/>
  <c r="D20" i="5"/>
  <c r="AR12" i="7"/>
  <c r="D12" i="5"/>
  <c r="AR11" i="7"/>
  <c r="D11" i="5"/>
  <c r="AS8" i="7"/>
  <c r="D8" i="5"/>
  <c r="AR5" i="7"/>
  <c r="D5" i="5"/>
  <c r="AS5" i="7"/>
  <c r="AP9"/>
  <c r="AQ9" s="1"/>
  <c r="AS6"/>
  <c r="D6" i="5"/>
  <c r="AP7" i="7"/>
  <c r="AQ7" s="1"/>
  <c r="AR6"/>
  <c r="I7"/>
  <c r="O7"/>
  <c r="U7"/>
  <c r="AA7"/>
  <c r="AG7"/>
  <c r="AM7"/>
  <c r="AR8"/>
  <c r="AU11"/>
  <c r="AS12"/>
  <c r="AP13"/>
  <c r="AP14"/>
  <c r="AP15"/>
  <c r="AR18"/>
  <c r="AR19"/>
  <c r="AR20"/>
  <c r="AP21"/>
  <c r="AP22"/>
  <c r="AP23"/>
  <c r="AP24"/>
  <c r="AP26"/>
  <c r="AU5"/>
  <c r="AQ6"/>
  <c r="F7"/>
  <c r="H7"/>
  <c r="L7"/>
  <c r="N7"/>
  <c r="R7"/>
  <c r="T7"/>
  <c r="X7"/>
  <c r="Z7"/>
  <c r="AD7"/>
  <c r="AF7"/>
  <c r="AJ7"/>
  <c r="AL7"/>
  <c r="AQ8"/>
  <c r="AQ21"/>
  <c r="AQ23" s="1"/>
  <c r="Z7" i="1"/>
  <c r="W7"/>
  <c r="U7"/>
  <c r="F7"/>
  <c r="D16"/>
  <c r="D26"/>
  <c r="I9"/>
  <c r="G16"/>
  <c r="G26"/>
  <c r="L7"/>
  <c r="J16"/>
  <c r="O7"/>
  <c r="M16"/>
  <c r="M26"/>
  <c r="R9"/>
  <c r="P16"/>
  <c r="P26"/>
  <c r="S16"/>
  <c r="S26"/>
  <c r="V9"/>
  <c r="Y26"/>
  <c r="Z8"/>
  <c r="W9" l="1"/>
  <c r="G9" i="6"/>
  <c r="AP16" i="7"/>
  <c r="AS22"/>
  <c r="AT21"/>
  <c r="AT23" s="1"/>
  <c r="AT24"/>
  <c r="AS24"/>
  <c r="AS9"/>
  <c r="AS26"/>
  <c r="AU19"/>
  <c r="AU8"/>
  <c r="AU6"/>
  <c r="AU7" s="1"/>
  <c r="AU20"/>
  <c r="AR9"/>
  <c r="AS7"/>
  <c r="AS16" s="1"/>
  <c r="AS15"/>
  <c r="AS13"/>
  <c r="AU12"/>
  <c r="AR7"/>
  <c r="AS14"/>
  <c r="AL24" i="1"/>
  <c r="AL22"/>
  <c r="AL21"/>
  <c r="AL23" s="1"/>
  <c r="AU9" i="7" l="1"/>
  <c r="AM20" i="1"/>
  <c r="AM19"/>
  <c r="AM18"/>
  <c r="AK15"/>
  <c r="AK14"/>
  <c r="AK13"/>
  <c r="AM6"/>
  <c r="AM5"/>
  <c r="AI8"/>
  <c r="AI6"/>
  <c r="AI5"/>
  <c r="AL6"/>
  <c r="AL5"/>
  <c r="AK7"/>
  <c r="AK16" s="1"/>
  <c r="AL7" l="1"/>
  <c r="AM7"/>
  <c r="AK24" l="1"/>
  <c r="AK22"/>
  <c r="AK21"/>
  <c r="AK23" s="1"/>
  <c r="AM12"/>
  <c r="AM11"/>
  <c r="AK9" l="1"/>
  <c r="AL9" s="1"/>
  <c r="AK26"/>
  <c r="AM8"/>
  <c r="AM9" s="1"/>
  <c r="AL8"/>
  <c r="AJ11"/>
  <c r="AH26"/>
  <c r="AI24"/>
  <c r="AH24"/>
  <c r="AI22"/>
  <c r="AH22"/>
  <c r="AI21"/>
  <c r="AI23" s="1"/>
  <c r="AH21"/>
  <c r="AH23" s="1"/>
  <c r="AJ20"/>
  <c r="AJ19"/>
  <c r="AJ18"/>
  <c r="AH15"/>
  <c r="AH14"/>
  <c r="AH13"/>
  <c r="AJ12"/>
  <c r="AJ8"/>
  <c r="AH7"/>
  <c r="AJ6"/>
  <c r="AJ5"/>
  <c r="AH16" l="1"/>
  <c r="AI7"/>
  <c r="AJ9"/>
  <c r="AJ7"/>
  <c r="AH9"/>
  <c r="AI9" s="1"/>
  <c r="AF8" l="1"/>
  <c r="AF6"/>
  <c r="AF5"/>
  <c r="AF24"/>
  <c r="AE24"/>
  <c r="AF22"/>
  <c r="AE22"/>
  <c r="AF21"/>
  <c r="AF23" s="1"/>
  <c r="AE21"/>
  <c r="AE23" s="1"/>
  <c r="AG20"/>
  <c r="AG19"/>
  <c r="AG18"/>
  <c r="AE15"/>
  <c r="AE14"/>
  <c r="AE13"/>
  <c r="AG12"/>
  <c r="AG11"/>
  <c r="AG8"/>
  <c r="AE7"/>
  <c r="AF7" s="1"/>
  <c r="AG6"/>
  <c r="AG5"/>
  <c r="AU4"/>
  <c r="AD20"/>
  <c r="AD19"/>
  <c r="AD18"/>
  <c r="AA20"/>
  <c r="AA19"/>
  <c r="AA18"/>
  <c r="AB24"/>
  <c r="AC24"/>
  <c r="AC22"/>
  <c r="AD12"/>
  <c r="AD11"/>
  <c r="AD8"/>
  <c r="AD6"/>
  <c r="AD5"/>
  <c r="Z24"/>
  <c r="Z22"/>
  <c r="AA12"/>
  <c r="AA11"/>
  <c r="AA8"/>
  <c r="AA6"/>
  <c r="AA5"/>
  <c r="X12"/>
  <c r="X11"/>
  <c r="X8"/>
  <c r="X6"/>
  <c r="X5"/>
  <c r="X9" l="1"/>
  <c r="AG9"/>
  <c r="I4" i="5"/>
  <c r="AG7" i="1"/>
  <c r="AE9"/>
  <c r="AF9" s="1"/>
  <c r="AE16"/>
  <c r="AE26"/>
  <c r="AD7"/>
  <c r="AD9"/>
  <c r="AA7"/>
  <c r="AA9"/>
  <c r="X7"/>
  <c r="I12" i="6" l="1"/>
  <c r="I11"/>
  <c r="I8"/>
  <c r="I6"/>
  <c r="I5"/>
  <c r="F20"/>
  <c r="F19"/>
  <c r="F18"/>
  <c r="F11"/>
  <c r="F12"/>
  <c r="F8"/>
  <c r="F6"/>
  <c r="F5"/>
  <c r="AC8" i="1"/>
  <c r="AC6"/>
  <c r="AC5"/>
  <c r="AB22"/>
  <c r="AC21"/>
  <c r="AC23" s="1"/>
  <c r="AB15"/>
  <c r="AB14"/>
  <c r="AB13"/>
  <c r="AB9"/>
  <c r="AR8"/>
  <c r="AR6"/>
  <c r="AC9" l="1"/>
  <c r="AP9"/>
  <c r="G11" i="5"/>
  <c r="I11" s="1"/>
  <c r="AR11" i="1"/>
  <c r="F11" i="5"/>
  <c r="L11" s="1"/>
  <c r="F12"/>
  <c r="F8"/>
  <c r="F20"/>
  <c r="G12"/>
  <c r="I12" s="1"/>
  <c r="AR12" i="1"/>
  <c r="G19" i="5"/>
  <c r="I19" s="1"/>
  <c r="AR19" i="1"/>
  <c r="AQ22"/>
  <c r="AT19"/>
  <c r="G5" i="5"/>
  <c r="I5" s="1"/>
  <c r="AR5" i="1"/>
  <c r="AS18"/>
  <c r="AU18" s="1"/>
  <c r="AR18"/>
  <c r="H18" i="5"/>
  <c r="AT18" i="1"/>
  <c r="H20" i="5"/>
  <c r="AT20" i="1"/>
  <c r="AT24" s="1"/>
  <c r="AQ24"/>
  <c r="L5" i="6"/>
  <c r="I9"/>
  <c r="I7"/>
  <c r="I19"/>
  <c r="L19" s="1"/>
  <c r="K19"/>
  <c r="L8"/>
  <c r="L12"/>
  <c r="H24" i="5"/>
  <c r="K18" i="6"/>
  <c r="I18"/>
  <c r="L18" s="1"/>
  <c r="K20"/>
  <c r="I20"/>
  <c r="L20" s="1"/>
  <c r="L6"/>
  <c r="L11"/>
  <c r="D24"/>
  <c r="H24"/>
  <c r="E22"/>
  <c r="E24"/>
  <c r="G24"/>
  <c r="H22"/>
  <c r="F9"/>
  <c r="F7"/>
  <c r="AU11" i="1"/>
  <c r="E7" i="6"/>
  <c r="E21" i="5"/>
  <c r="AB26" i="1"/>
  <c r="AB21"/>
  <c r="AB23" s="1"/>
  <c r="AB7"/>
  <c r="AP7" s="1"/>
  <c r="D15" i="5"/>
  <c r="F18"/>
  <c r="F6"/>
  <c r="D14" i="6"/>
  <c r="J18"/>
  <c r="E6"/>
  <c r="D22"/>
  <c r="AQ21" i="1"/>
  <c r="AQ23" s="1"/>
  <c r="AS6"/>
  <c r="AU6" s="1"/>
  <c r="AQ6"/>
  <c r="G6" i="5"/>
  <c r="I6" s="1"/>
  <c r="AS8" i="1"/>
  <c r="AU8" s="1"/>
  <c r="AP26"/>
  <c r="AQ8"/>
  <c r="G8" i="5"/>
  <c r="I8" s="1"/>
  <c r="J12"/>
  <c r="AQ5" i="1"/>
  <c r="AP13"/>
  <c r="AP15"/>
  <c r="AP22"/>
  <c r="AS5"/>
  <c r="AU5" s="1"/>
  <c r="AS12"/>
  <c r="AU12" s="1"/>
  <c r="AS19"/>
  <c r="G18" i="5"/>
  <c r="H19"/>
  <c r="AP14" i="1"/>
  <c r="H21" i="6"/>
  <c r="E21"/>
  <c r="E23" s="1"/>
  <c r="J19"/>
  <c r="J11"/>
  <c r="D26"/>
  <c r="E5"/>
  <c r="E8"/>
  <c r="K11"/>
  <c r="G22"/>
  <c r="D9"/>
  <c r="E9" s="1"/>
  <c r="D13"/>
  <c r="D15"/>
  <c r="D21"/>
  <c r="G13" i="5"/>
  <c r="Z21" i="1"/>
  <c r="Z23" s="1"/>
  <c r="G21" i="6"/>
  <c r="J12"/>
  <c r="K5"/>
  <c r="M21" l="1"/>
  <c r="L8" i="5"/>
  <c r="L12"/>
  <c r="G14"/>
  <c r="K11"/>
  <c r="J11"/>
  <c r="G15"/>
  <c r="J15" s="1"/>
  <c r="H5"/>
  <c r="G22"/>
  <c r="K12"/>
  <c r="L6"/>
  <c r="K19"/>
  <c r="E23"/>
  <c r="E8"/>
  <c r="AS22" i="1"/>
  <c r="AU19"/>
  <c r="AU9"/>
  <c r="AU7"/>
  <c r="AP24"/>
  <c r="AR20"/>
  <c r="AR9"/>
  <c r="AR7"/>
  <c r="AT22"/>
  <c r="G23" i="6"/>
  <c r="J24"/>
  <c r="K24"/>
  <c r="L7"/>
  <c r="E24" i="5"/>
  <c r="H23" i="6"/>
  <c r="L21"/>
  <c r="H21" i="5"/>
  <c r="H23" s="1"/>
  <c r="H22"/>
  <c r="F19"/>
  <c r="L19" s="1"/>
  <c r="D22"/>
  <c r="D24"/>
  <c r="E22"/>
  <c r="L9" i="6"/>
  <c r="D13" i="5"/>
  <c r="J13" s="1"/>
  <c r="F5"/>
  <c r="I9"/>
  <c r="I18"/>
  <c r="L18" s="1"/>
  <c r="I7"/>
  <c r="E6"/>
  <c r="D7"/>
  <c r="D16" s="1"/>
  <c r="AS14" i="1"/>
  <c r="J5" i="5"/>
  <c r="AC7" i="1"/>
  <c r="K5" i="5"/>
  <c r="J19"/>
  <c r="AB16" i="1"/>
  <c r="K6" i="5"/>
  <c r="D21"/>
  <c r="D23" s="1"/>
  <c r="D9"/>
  <c r="E9" s="1"/>
  <c r="D26"/>
  <c r="D14"/>
  <c r="E5"/>
  <c r="AT21" i="1"/>
  <c r="AT23" s="1"/>
  <c r="G7" i="5"/>
  <c r="K18"/>
  <c r="J18"/>
  <c r="AS20" i="1"/>
  <c r="AP21"/>
  <c r="AP23" s="1"/>
  <c r="G20" i="5"/>
  <c r="K8"/>
  <c r="J8"/>
  <c r="J8" i="6"/>
  <c r="K15" i="5"/>
  <c r="K13"/>
  <c r="L21"/>
  <c r="AS15" i="1"/>
  <c r="AS13"/>
  <c r="J21" i="6"/>
  <c r="G14"/>
  <c r="J14" s="1"/>
  <c r="K12"/>
  <c r="K8"/>
  <c r="H5"/>
  <c r="J20"/>
  <c r="J5"/>
  <c r="G15"/>
  <c r="J15" s="1"/>
  <c r="G13"/>
  <c r="K13" s="1"/>
  <c r="H8"/>
  <c r="AS26" i="1"/>
  <c r="G9" i="5"/>
  <c r="J22" i="6"/>
  <c r="K22"/>
  <c r="D23"/>
  <c r="K23" s="1"/>
  <c r="K21"/>
  <c r="D16"/>
  <c r="H6" i="5"/>
  <c r="J6"/>
  <c r="G26"/>
  <c r="H8"/>
  <c r="M21" l="1"/>
  <c r="J22"/>
  <c r="K14"/>
  <c r="AS21" i="1"/>
  <c r="AS23" s="1"/>
  <c r="AU20"/>
  <c r="AS24"/>
  <c r="I20" i="5"/>
  <c r="L20" s="1"/>
  <c r="G24"/>
  <c r="F7"/>
  <c r="L7" s="1"/>
  <c r="F9"/>
  <c r="L9" s="1"/>
  <c r="L5"/>
  <c r="K7"/>
  <c r="K22"/>
  <c r="E7"/>
  <c r="J7"/>
  <c r="K14" i="6"/>
  <c r="K15"/>
  <c r="J13"/>
  <c r="J23"/>
  <c r="J14" i="5"/>
  <c r="AS7" i="1"/>
  <c r="AS16" s="1"/>
  <c r="AQ7"/>
  <c r="AP16"/>
  <c r="K20" i="5"/>
  <c r="G21"/>
  <c r="G23" s="1"/>
  <c r="J20"/>
  <c r="AS9" i="1"/>
  <c r="AQ9"/>
  <c r="K26" i="5"/>
  <c r="J26"/>
  <c r="K9"/>
  <c r="J9"/>
  <c r="H9"/>
  <c r="H7"/>
  <c r="G16"/>
  <c r="J24" l="1"/>
  <c r="K24"/>
  <c r="K23"/>
  <c r="J23"/>
  <c r="K21"/>
  <c r="J21"/>
  <c r="G16" i="6"/>
  <c r="K7"/>
  <c r="J7"/>
  <c r="H7"/>
  <c r="K16" i="5"/>
  <c r="J16"/>
  <c r="J6" i="6"/>
  <c r="K6"/>
  <c r="H6"/>
  <c r="G26"/>
  <c r="K16" l="1"/>
  <c r="J16"/>
  <c r="J26"/>
  <c r="K26"/>
  <c r="H9"/>
  <c r="J9"/>
  <c r="K9"/>
</calcChain>
</file>

<file path=xl/sharedStrings.xml><?xml version="1.0" encoding="utf-8"?>
<sst xmlns="http://schemas.openxmlformats.org/spreadsheetml/2006/main" count="327" uniqueCount="65">
  <si>
    <t>FNOL</t>
  </si>
  <si>
    <t>tis. Kč</t>
  </si>
  <si>
    <t>skutečnost</t>
  </si>
  <si>
    <t>Tržby</t>
  </si>
  <si>
    <t>Variabilní náklady</t>
  </si>
  <si>
    <t>Fixní náklady</t>
  </si>
  <si>
    <t xml:space="preserve"> září 2014</t>
  </si>
  <si>
    <t>Přidaná hodnota</t>
  </si>
  <si>
    <t xml:space="preserve"> říjen 2014</t>
  </si>
  <si>
    <t xml:space="preserve"> listopad 2014</t>
  </si>
  <si>
    <t xml:space="preserve"> prosinec 2014</t>
  </si>
  <si>
    <t>CELKEM</t>
  </si>
  <si>
    <t>průměr</t>
  </si>
  <si>
    <t>Výsledek</t>
  </si>
  <si>
    <t>Osobní náklady</t>
  </si>
  <si>
    <t>Produktivita práce</t>
  </si>
  <si>
    <t>PHM litr</t>
  </si>
  <si>
    <t>Zaměstnanci</t>
  </si>
  <si>
    <t>PHM Kč/litr</t>
  </si>
  <si>
    <t>Mzdová nákladovost tržeb</t>
  </si>
  <si>
    <t>Mzdová nákladovost PH</t>
  </si>
  <si>
    <t>PHM litr/km</t>
  </si>
  <si>
    <t>ujeté Kilometry</t>
  </si>
  <si>
    <t>% z T</t>
  </si>
  <si>
    <t>vykázáno</t>
  </si>
  <si>
    <t>účetnictví</t>
  </si>
  <si>
    <t>dopravou</t>
  </si>
  <si>
    <t>PHM v tis. Kč</t>
  </si>
  <si>
    <t>spotřeba PHM na 100 km</t>
  </si>
  <si>
    <t>index</t>
  </si>
  <si>
    <t>hodnota</t>
  </si>
  <si>
    <t>počet měsíců</t>
  </si>
  <si>
    <t>PHM v litrech</t>
  </si>
  <si>
    <t>Průměrné ON na osobu</t>
  </si>
  <si>
    <t>doprava sanitní externí</t>
  </si>
  <si>
    <t>BOD ZLOMU 9405</t>
  </si>
  <si>
    <t>počet</t>
  </si>
  <si>
    <t>sanitek</t>
  </si>
  <si>
    <t>PHM Kč/km</t>
  </si>
  <si>
    <t>SANITKY</t>
  </si>
  <si>
    <t xml:space="preserve"> srpen 2014</t>
  </si>
  <si>
    <t xml:space="preserve"> červenec 2014</t>
  </si>
  <si>
    <t xml:space="preserve"> červenec 2015</t>
  </si>
  <si>
    <t xml:space="preserve"> srpen 2015</t>
  </si>
  <si>
    <t xml:space="preserve"> září 2015</t>
  </si>
  <si>
    <t xml:space="preserve"> říjen 2015</t>
  </si>
  <si>
    <t xml:space="preserve"> listopad 2015</t>
  </si>
  <si>
    <t xml:space="preserve"> prosinec 2015</t>
  </si>
  <si>
    <t xml:space="preserve"> červen 2015</t>
  </si>
  <si>
    <t xml:space="preserve"> květen 2015</t>
  </si>
  <si>
    <t xml:space="preserve"> duben 2015</t>
  </si>
  <si>
    <t xml:space="preserve"> březen 2015</t>
  </si>
  <si>
    <t xml:space="preserve"> únor 2015</t>
  </si>
  <si>
    <t xml:space="preserve"> leden 2015</t>
  </si>
  <si>
    <t xml:space="preserve"> leden 2014</t>
  </si>
  <si>
    <t xml:space="preserve"> únor 2014</t>
  </si>
  <si>
    <t xml:space="preserve"> březen 2014</t>
  </si>
  <si>
    <t xml:space="preserve"> duben 2014</t>
  </si>
  <si>
    <t xml:space="preserve"> květen 2014</t>
  </si>
  <si>
    <t xml:space="preserve"> červen 2014</t>
  </si>
  <si>
    <t>2015/2014</t>
  </si>
  <si>
    <t>2015 - 2014</t>
  </si>
  <si>
    <t>non</t>
  </si>
  <si>
    <t xml:space="preserve"> 1 - 6 2014</t>
  </si>
  <si>
    <t xml:space="preserve"> 1 - 6 2015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</si>
</sst>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33CC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3" fontId="0" fillId="0" borderId="0" xfId="0" applyNumberFormat="1"/>
    <xf numFmtId="3" fontId="9" fillId="0" borderId="0" xfId="0" applyNumberFormat="1" applyFont="1"/>
    <xf numFmtId="3" fontId="12" fillId="0" borderId="0" xfId="0" applyNumberFormat="1" applyFont="1"/>
    <xf numFmtId="165" fontId="9" fillId="0" borderId="0" xfId="0" applyNumberFormat="1" applyFont="1" applyAlignme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164" fontId="14" fillId="0" borderId="1" xfId="0" applyNumberFormat="1" applyFont="1" applyBorder="1"/>
    <xf numFmtId="0" fontId="17" fillId="0" borderId="0" xfId="0" applyFont="1"/>
    <xf numFmtId="3" fontId="17" fillId="0" borderId="0" xfId="0" applyNumberFormat="1" applyFont="1"/>
    <xf numFmtId="0" fontId="18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/>
    <xf numFmtId="166" fontId="9" fillId="0" borderId="0" xfId="0" applyNumberFormat="1" applyFont="1" applyBorder="1" applyAlignment="1"/>
    <xf numFmtId="4" fontId="9" fillId="0" borderId="0" xfId="0" applyNumberFormat="1" applyFont="1"/>
    <xf numFmtId="2" fontId="9" fillId="0" borderId="0" xfId="0" applyNumberFormat="1" applyFont="1" applyBorder="1"/>
    <xf numFmtId="4" fontId="11" fillId="0" borderId="0" xfId="0" applyNumberFormat="1" applyFont="1"/>
    <xf numFmtId="4" fontId="11" fillId="0" borderId="0" xfId="0" applyNumberFormat="1" applyFont="1" applyBorder="1"/>
    <xf numFmtId="0" fontId="19" fillId="0" borderId="0" xfId="0" applyFont="1"/>
    <xf numFmtId="0" fontId="19" fillId="0" borderId="0" xfId="0" applyFont="1" applyBorder="1"/>
    <xf numFmtId="0" fontId="20" fillId="0" borderId="0" xfId="0" applyFont="1" applyAlignment="1">
      <alignment horizontal="center"/>
    </xf>
    <xf numFmtId="2" fontId="9" fillId="0" borderId="0" xfId="0" applyNumberFormat="1" applyFont="1"/>
    <xf numFmtId="164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0" fontId="15" fillId="0" borderId="0" xfId="0" applyFont="1"/>
    <xf numFmtId="3" fontId="23" fillId="0" borderId="0" xfId="0" applyNumberFormat="1" applyFont="1" applyAlignment="1"/>
    <xf numFmtId="3" fontId="25" fillId="0" borderId="0" xfId="0" applyNumberFormat="1" applyFont="1"/>
    <xf numFmtId="166" fontId="26" fillId="0" borderId="0" xfId="0" applyNumberFormat="1" applyFont="1" applyAlignment="1"/>
    <xf numFmtId="4" fontId="22" fillId="0" borderId="0" xfId="0" applyNumberFormat="1" applyFont="1"/>
    <xf numFmtId="4" fontId="26" fillId="0" borderId="0" xfId="0" applyNumberFormat="1" applyFont="1"/>
    <xf numFmtId="0" fontId="27" fillId="0" borderId="0" xfId="0" applyFont="1"/>
    <xf numFmtId="164" fontId="22" fillId="0" borderId="0" xfId="0" applyNumberFormat="1" applyFont="1" applyBorder="1"/>
    <xf numFmtId="164" fontId="23" fillId="0" borderId="0" xfId="0" applyNumberFormat="1" applyFont="1" applyBorder="1"/>
    <xf numFmtId="164" fontId="15" fillId="0" borderId="0" xfId="0" applyNumberFormat="1" applyFont="1"/>
    <xf numFmtId="3" fontId="23" fillId="0" borderId="0" xfId="0" applyNumberFormat="1" applyFont="1"/>
    <xf numFmtId="166" fontId="22" fillId="0" borderId="0" xfId="0" applyNumberFormat="1" applyFont="1" applyBorder="1" applyAlignment="1"/>
    <xf numFmtId="3" fontId="28" fillId="0" borderId="0" xfId="0" applyNumberFormat="1" applyFont="1" applyBorder="1"/>
    <xf numFmtId="0" fontId="20" fillId="0" borderId="0" xfId="0" applyFont="1" applyBorder="1" applyAlignment="1">
      <alignment horizontal="center"/>
    </xf>
    <xf numFmtId="10" fontId="21" fillId="0" borderId="0" xfId="1" applyNumberFormat="1" applyFont="1" applyBorder="1" applyAlignment="1">
      <alignment horizontal="center"/>
    </xf>
    <xf numFmtId="0" fontId="15" fillId="0" borderId="0" xfId="0" applyFont="1" applyBorder="1"/>
    <xf numFmtId="0" fontId="27" fillId="0" borderId="0" xfId="0" applyFont="1" applyBorder="1"/>
    <xf numFmtId="166" fontId="22" fillId="0" borderId="0" xfId="0" applyNumberFormat="1" applyFont="1" applyAlignment="1"/>
    <xf numFmtId="164" fontId="29" fillId="0" borderId="1" xfId="1" applyNumberFormat="1" applyFont="1" applyBorder="1"/>
    <xf numFmtId="165" fontId="22" fillId="0" borderId="0" xfId="0" applyNumberFormat="1" applyFont="1"/>
    <xf numFmtId="164" fontId="30" fillId="0" borderId="1" xfId="1" applyNumberFormat="1" applyFont="1" applyBorder="1"/>
    <xf numFmtId="165" fontId="23" fillId="0" borderId="0" xfId="0" applyNumberFormat="1" applyFont="1"/>
    <xf numFmtId="164" fontId="31" fillId="0" borderId="1" xfId="1" applyNumberFormat="1" applyFont="1" applyBorder="1"/>
    <xf numFmtId="0" fontId="15" fillId="0" borderId="1" xfId="0" applyFont="1" applyBorder="1"/>
    <xf numFmtId="164" fontId="29" fillId="0" borderId="0" xfId="1" applyNumberFormat="1" applyFont="1" applyBorder="1"/>
    <xf numFmtId="167" fontId="22" fillId="0" borderId="0" xfId="0" applyNumberFormat="1" applyFont="1"/>
    <xf numFmtId="3" fontId="22" fillId="0" borderId="0" xfId="0" applyNumberFormat="1" applyFont="1"/>
    <xf numFmtId="3" fontId="15" fillId="0" borderId="0" xfId="0" applyNumberFormat="1" applyFont="1"/>
    <xf numFmtId="3" fontId="22" fillId="0" borderId="0" xfId="0" applyNumberFormat="1" applyFont="1" applyAlignment="1"/>
    <xf numFmtId="0" fontId="0" fillId="0" borderId="0" xfId="0" applyBorder="1" applyAlignment="1">
      <alignment horizontal="center"/>
    </xf>
    <xf numFmtId="0" fontId="23" fillId="0" borderId="0" xfId="0" applyFont="1"/>
    <xf numFmtId="3" fontId="12" fillId="0" borderId="0" xfId="0" applyNumberFormat="1" applyFont="1" applyFill="1" applyAlignment="1"/>
    <xf numFmtId="0" fontId="8" fillId="0" borderId="0" xfId="0" applyFont="1" applyBorder="1" applyAlignment="1">
      <alignment horizontal="center"/>
    </xf>
    <xf numFmtId="3" fontId="10" fillId="0" borderId="0" xfId="0" applyNumberFormat="1" applyFont="1" applyBorder="1" applyAlignment="1"/>
    <xf numFmtId="3" fontId="12" fillId="0" borderId="0" xfId="0" applyNumberFormat="1" applyFont="1" applyBorder="1" applyAlignment="1"/>
    <xf numFmtId="165" fontId="9" fillId="0" borderId="0" xfId="0" applyNumberFormat="1" applyFont="1" applyBorder="1" applyAlignment="1"/>
    <xf numFmtId="3" fontId="8" fillId="0" borderId="0" xfId="0" applyNumberFormat="1" applyFont="1" applyBorder="1" applyAlignment="1"/>
    <xf numFmtId="4" fontId="9" fillId="0" borderId="0" xfId="0" applyNumberFormat="1" applyFont="1" applyBorder="1"/>
    <xf numFmtId="0" fontId="0" fillId="0" borderId="0" xfId="0" applyBorder="1"/>
    <xf numFmtId="3" fontId="7" fillId="0" borderId="0" xfId="0" applyNumberFormat="1" applyFont="1"/>
    <xf numFmtId="165" fontId="7" fillId="0" borderId="0" xfId="0" applyNumberFormat="1" applyFont="1"/>
    <xf numFmtId="3" fontId="14" fillId="0" borderId="0" xfId="0" applyNumberFormat="1" applyFont="1" applyBorder="1" applyAlignment="1">
      <alignment horizontal="right"/>
    </xf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B42" sqref="B42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6.42578125" customWidth="1"/>
    <col min="7" max="7" width="13.7109375" customWidth="1"/>
    <col min="8" max="8" width="8.7109375" customWidth="1"/>
    <col min="9" max="9" width="6.85546875" customWidth="1"/>
    <col min="10" max="12" width="11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6" t="s">
        <v>39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63</v>
      </c>
      <c r="E3" s="23" t="s">
        <v>24</v>
      </c>
      <c r="F3" s="3" t="s">
        <v>37</v>
      </c>
      <c r="G3" s="4" t="s">
        <v>64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6"/>
      <c r="N3" s="4"/>
      <c r="O3" s="6"/>
      <c r="P3" s="4"/>
      <c r="S3" s="4"/>
      <c r="T3" s="6"/>
    </row>
    <row r="4" spans="2:21">
      <c r="B4" s="43">
        <v>9405</v>
      </c>
      <c r="D4" s="22" t="s">
        <v>25</v>
      </c>
      <c r="E4" s="3" t="s">
        <v>26</v>
      </c>
      <c r="F4" s="3">
        <f>+'2014'!AR4</f>
        <v>7</v>
      </c>
      <c r="G4" s="22" t="s">
        <v>25</v>
      </c>
      <c r="H4" s="3" t="s">
        <v>26</v>
      </c>
      <c r="I4" s="3">
        <f>+'2015'!AR4</f>
        <v>9.1428571428571423</v>
      </c>
      <c r="J4" s="25"/>
    </row>
    <row r="5" spans="2:21">
      <c r="B5" s="10" t="s">
        <v>3</v>
      </c>
      <c r="C5" s="16"/>
      <c r="D5" s="8">
        <f>+'2014'!AP5</f>
        <v>4504.5041299999993</v>
      </c>
      <c r="E5" s="54">
        <f>+D5/$D$5</f>
        <v>1</v>
      </c>
      <c r="F5" s="83">
        <f>+D5/F4</f>
        <v>643.50058999999987</v>
      </c>
      <c r="G5" s="13">
        <f>+'2015'!AP5</f>
        <v>4367.2078899999997</v>
      </c>
      <c r="H5" s="54">
        <f>+G5/$G$5</f>
        <v>1</v>
      </c>
      <c r="I5" s="83">
        <f>+G5/I4</f>
        <v>477.66336296874999</v>
      </c>
      <c r="J5" s="75">
        <f t="shared" ref="J5:J24" si="0">+G5/D5</f>
        <v>0.96952023218591221</v>
      </c>
      <c r="K5" s="76">
        <f>+G5-D5</f>
        <v>-137.29623999999967</v>
      </c>
      <c r="L5" s="76">
        <f>+I5-F5</f>
        <v>-165.83722703124988</v>
      </c>
      <c r="M5" s="57"/>
    </row>
    <row r="6" spans="2:21">
      <c r="B6" s="7" t="s">
        <v>4</v>
      </c>
      <c r="C6" s="16"/>
      <c r="D6" s="11">
        <f>+'2014'!AP6</f>
        <v>1793.03367718308</v>
      </c>
      <c r="E6" s="55">
        <f>+D6/$D$5</f>
        <v>0.39805350942881262</v>
      </c>
      <c r="F6" s="67">
        <f>+D6/F4</f>
        <v>256.14766816901141</v>
      </c>
      <c r="G6" s="14">
        <f>+'2015'!AP6</f>
        <v>1359.9195400000001</v>
      </c>
      <c r="H6" s="55">
        <f>+G6/$G$5</f>
        <v>0.31139336030096798</v>
      </c>
      <c r="I6" s="67">
        <f>+G6/I4</f>
        <v>148.74119968750003</v>
      </c>
      <c r="J6" s="77">
        <f t="shared" si="0"/>
        <v>0.75844617828733829</v>
      </c>
      <c r="K6" s="78">
        <f>+G6-D6</f>
        <v>-433.11413718307995</v>
      </c>
      <c r="L6" s="78">
        <f>+I6-F6</f>
        <v>-107.40646848151138</v>
      </c>
      <c r="M6" s="57"/>
    </row>
    <row r="7" spans="2:21">
      <c r="B7" s="10" t="s">
        <v>7</v>
      </c>
      <c r="C7" s="16"/>
      <c r="D7" s="8">
        <f>+D5-D6</f>
        <v>2711.4704528169195</v>
      </c>
      <c r="E7" s="56">
        <f>+D7/$D$5</f>
        <v>0.60194649057118743</v>
      </c>
      <c r="F7" s="85">
        <f>+F5-F6</f>
        <v>387.35292183098846</v>
      </c>
      <c r="G7" s="8">
        <f>+G5-G6</f>
        <v>3007.2883499999998</v>
      </c>
      <c r="H7" s="56">
        <f>+G7/$G$5</f>
        <v>0.68860663969903202</v>
      </c>
      <c r="I7" s="85">
        <f>+I5-I6</f>
        <v>328.92216328124994</v>
      </c>
      <c r="J7" s="79">
        <f t="shared" si="0"/>
        <v>1.1090986984113207</v>
      </c>
      <c r="K7" s="76">
        <f>+G7-D7</f>
        <v>295.81789718308028</v>
      </c>
      <c r="L7" s="76">
        <f>+I7-F7</f>
        <v>-58.430758549738528</v>
      </c>
      <c r="M7" s="57"/>
    </row>
    <row r="8" spans="2:21">
      <c r="B8" s="7" t="s">
        <v>5</v>
      </c>
      <c r="C8" s="16"/>
      <c r="D8" s="11">
        <f>+'2014'!AP8</f>
        <v>2805.6795678660001</v>
      </c>
      <c r="E8" s="55">
        <f>+D8/$D$5</f>
        <v>0.62286091585090864</v>
      </c>
      <c r="F8" s="67">
        <f>+D8/F4</f>
        <v>400.81136683800003</v>
      </c>
      <c r="G8" s="14">
        <f>+'2015'!AP8</f>
        <v>2792.7564600000001</v>
      </c>
      <c r="H8" s="55">
        <f>+G8/$G$5</f>
        <v>0.63948328779924424</v>
      </c>
      <c r="I8" s="67">
        <f>+G8/I4</f>
        <v>305.4577378125</v>
      </c>
      <c r="J8" s="77">
        <f t="shared" si="0"/>
        <v>0.99539394732954867</v>
      </c>
      <c r="K8" s="78">
        <f>+G8-D8</f>
        <v>-12.923107866000009</v>
      </c>
      <c r="L8" s="78">
        <f>+I8-F8</f>
        <v>-95.353629025500027</v>
      </c>
      <c r="M8" s="57"/>
    </row>
    <row r="9" spans="2:21">
      <c r="B9" s="18" t="s">
        <v>13</v>
      </c>
      <c r="C9" s="16"/>
      <c r="D9" s="15">
        <f>+D5-D6-D8</f>
        <v>-94.209115049080538</v>
      </c>
      <c r="E9" s="54">
        <f>+D9/$D$5</f>
        <v>-2.0914425279721201E-2</v>
      </c>
      <c r="F9" s="15">
        <f>+F5-F6-F8</f>
        <v>-13.458445007011562</v>
      </c>
      <c r="G9" s="15">
        <f>+G5-G6-G8</f>
        <v>214.53188999999975</v>
      </c>
      <c r="H9" s="54">
        <f>+G9/$G$5</f>
        <v>4.9123351899787795E-2</v>
      </c>
      <c r="I9" s="15">
        <f>+I5-I6-I8</f>
        <v>23.464425468749937</v>
      </c>
      <c r="J9" s="79">
        <f t="shared" si="0"/>
        <v>-2.2771882517762121</v>
      </c>
      <c r="K9" s="76">
        <f>+G9-D9</f>
        <v>308.74100504908029</v>
      </c>
      <c r="L9" s="76">
        <f>+I9-F9</f>
        <v>36.922870475761499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0"/>
      <c r="K10" s="57"/>
      <c r="L10" s="57"/>
      <c r="M10" s="57"/>
    </row>
    <row r="11" spans="2:21">
      <c r="B11" s="17" t="s">
        <v>17</v>
      </c>
      <c r="C11" s="16"/>
      <c r="D11" s="32">
        <f>+'2014'!AP11</f>
        <v>42</v>
      </c>
      <c r="E11" s="57"/>
      <c r="F11" s="67">
        <f>+D11/F4</f>
        <v>6</v>
      </c>
      <c r="G11" s="28">
        <f>+'2015'!AP11</f>
        <v>51</v>
      </c>
      <c r="H11" s="57"/>
      <c r="I11" s="67">
        <f>+G11/I4</f>
        <v>5.578125</v>
      </c>
      <c r="J11" s="77">
        <f t="shared" si="0"/>
        <v>1.2142857142857142</v>
      </c>
      <c r="K11" s="78">
        <f t="shared" ref="K11:K16" si="1">+G11-D11</f>
        <v>9</v>
      </c>
      <c r="L11" s="78">
        <f>+I11-F11</f>
        <v>-0.421875</v>
      </c>
      <c r="M11" s="57"/>
    </row>
    <row r="12" spans="2:21">
      <c r="B12" s="17" t="s">
        <v>14</v>
      </c>
      <c r="C12" s="16"/>
      <c r="D12" s="32">
        <f>+'2014'!AP12</f>
        <v>1914.332444784</v>
      </c>
      <c r="E12" s="57"/>
      <c r="F12" s="67">
        <f>+D12/F4</f>
        <v>273.47606354057143</v>
      </c>
      <c r="G12" s="14">
        <f>+'2015'!AP12</f>
        <v>1832.8590499999998</v>
      </c>
      <c r="H12" s="57"/>
      <c r="I12" s="67">
        <f>+G12/I4</f>
        <v>200.46895859374999</v>
      </c>
      <c r="J12" s="77">
        <f t="shared" si="0"/>
        <v>0.9574403103254131</v>
      </c>
      <c r="K12" s="78">
        <f t="shared" si="1"/>
        <v>-81.47339478400022</v>
      </c>
      <c r="L12" s="78">
        <f>+I12-F12</f>
        <v>-73.007104946821443</v>
      </c>
      <c r="M12" s="57"/>
    </row>
    <row r="13" spans="2:21">
      <c r="B13" s="18" t="s">
        <v>19</v>
      </c>
      <c r="C13" s="16"/>
      <c r="D13" s="33">
        <f>+D12/D5</f>
        <v>0.42498183807503809</v>
      </c>
      <c r="E13" s="57"/>
      <c r="F13" s="33"/>
      <c r="G13" s="33">
        <f>+G12/G5</f>
        <v>0.41968669597727803</v>
      </c>
      <c r="H13" s="57"/>
      <c r="I13" s="33"/>
      <c r="J13" s="75">
        <f t="shared" si="0"/>
        <v>0.98754030967124506</v>
      </c>
      <c r="K13" s="54">
        <f t="shared" si="1"/>
        <v>-5.2951420977600527E-3</v>
      </c>
      <c r="L13" s="57"/>
      <c r="M13" s="57"/>
    </row>
    <row r="14" spans="2:21">
      <c r="B14" s="18" t="s">
        <v>15</v>
      </c>
      <c r="C14" s="16"/>
      <c r="D14" s="8">
        <f>+D5/D11</f>
        <v>107.25009833333331</v>
      </c>
      <c r="E14" s="57"/>
      <c r="F14" s="8"/>
      <c r="G14" s="8">
        <f>+G5/G11</f>
        <v>85.631527254901954</v>
      </c>
      <c r="H14" s="57"/>
      <c r="I14" s="8"/>
      <c r="J14" s="75">
        <f t="shared" si="0"/>
        <v>0.7984284265060454</v>
      </c>
      <c r="K14" s="76">
        <f t="shared" si="1"/>
        <v>-21.618571078431359</v>
      </c>
      <c r="L14" s="57"/>
      <c r="M14" s="57"/>
    </row>
    <row r="15" spans="2:21">
      <c r="B15" s="10" t="s">
        <v>33</v>
      </c>
      <c r="C15" s="16"/>
      <c r="D15" s="8">
        <f>+D12/D11</f>
        <v>45.579343923428574</v>
      </c>
      <c r="E15" s="57"/>
      <c r="F15" s="8"/>
      <c r="G15" s="8">
        <f>+G12/G11</f>
        <v>35.938412745098034</v>
      </c>
      <c r="H15" s="57"/>
      <c r="I15" s="8"/>
      <c r="J15" s="75">
        <f t="shared" si="0"/>
        <v>0.78848025556210488</v>
      </c>
      <c r="K15" s="76">
        <f t="shared" si="1"/>
        <v>-9.6409311783305398</v>
      </c>
      <c r="L15" s="57"/>
      <c r="M15" s="57"/>
    </row>
    <row r="16" spans="2:21">
      <c r="B16" s="18" t="s">
        <v>20</v>
      </c>
      <c r="C16" s="16"/>
      <c r="D16" s="33">
        <f>+D12/D7</f>
        <v>0.70601265184181494</v>
      </c>
      <c r="E16" s="57"/>
      <c r="F16" s="33"/>
      <c r="G16" s="33">
        <f>+G12/G7</f>
        <v>0.60947233410457624</v>
      </c>
      <c r="H16" s="57"/>
      <c r="I16" s="33"/>
      <c r="J16" s="75">
        <f t="shared" si="0"/>
        <v>0.86325979076240555</v>
      </c>
      <c r="K16" s="54">
        <f t="shared" si="1"/>
        <v>-9.6540317737238701E-2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0"/>
      <c r="K17" s="57"/>
      <c r="L17" s="57"/>
      <c r="M17" s="57"/>
    </row>
    <row r="18" spans="2:13">
      <c r="B18" s="17" t="s">
        <v>22</v>
      </c>
      <c r="C18" s="16"/>
      <c r="D18" s="11">
        <f>+'2014'!AP18</f>
        <v>275954.52161</v>
      </c>
      <c r="E18" s="58">
        <f>+'2014'!AQ18</f>
        <v>275954.52161</v>
      </c>
      <c r="F18" s="67">
        <f>+D18/F4</f>
        <v>39422.074515714288</v>
      </c>
      <c r="G18" s="14">
        <f>+'2015'!AP18</f>
        <v>314160</v>
      </c>
      <c r="H18" s="67">
        <f>+'2015'!AQ18</f>
        <v>314160</v>
      </c>
      <c r="I18" s="67">
        <f>+G18/I4</f>
        <v>34361.25</v>
      </c>
      <c r="J18" s="77">
        <f t="shared" si="0"/>
        <v>1.1384484594312787</v>
      </c>
      <c r="K18" s="78">
        <f t="shared" ref="K18:K24" si="2">+G18-D18</f>
        <v>38205.478390000004</v>
      </c>
      <c r="L18" s="78">
        <f>+I18-F18</f>
        <v>-5060.8245157142883</v>
      </c>
      <c r="M18" s="57"/>
    </row>
    <row r="19" spans="2:13">
      <c r="B19" s="17" t="s">
        <v>16</v>
      </c>
      <c r="C19" s="16"/>
      <c r="D19" s="11">
        <f>+'2014'!AP19</f>
        <v>25577.942939999997</v>
      </c>
      <c r="E19" s="59">
        <f>+'2014'!AQ19</f>
        <v>25577.942939999997</v>
      </c>
      <c r="F19" s="67">
        <f>+D19/F4</f>
        <v>3653.9918485714284</v>
      </c>
      <c r="G19" s="14">
        <f>+'2015'!AP19</f>
        <v>27639.8</v>
      </c>
      <c r="H19" s="67">
        <f>+'2015'!AQ19</f>
        <v>27639.8</v>
      </c>
      <c r="I19" s="67">
        <f>+G19/I4</f>
        <v>3023.1031250000001</v>
      </c>
      <c r="J19" s="77">
        <f t="shared" si="0"/>
        <v>1.0806107459398375</v>
      </c>
      <c r="K19" s="78">
        <f t="shared" si="2"/>
        <v>2061.8570600000021</v>
      </c>
      <c r="L19" s="78">
        <f>+I19-F19</f>
        <v>-630.88872357142827</v>
      </c>
      <c r="M19" s="57"/>
    </row>
    <row r="20" spans="2:13">
      <c r="B20" s="17" t="s">
        <v>27</v>
      </c>
      <c r="C20" s="16"/>
      <c r="D20" s="11">
        <f>+'2014'!AP20</f>
        <v>936.61076810000009</v>
      </c>
      <c r="E20" s="59">
        <f>+'2014'!AQ20</f>
        <v>939.71680489999994</v>
      </c>
      <c r="F20" s="67">
        <f>+D20/F4</f>
        <v>133.8015383</v>
      </c>
      <c r="G20" s="14">
        <f>+'2015'!AP20</f>
        <v>844.44209999999998</v>
      </c>
      <c r="H20" s="67">
        <f>+'2015'!AQ20</f>
        <v>844.44278999999983</v>
      </c>
      <c r="I20" s="67">
        <f>+G20/I4</f>
        <v>92.360854687500009</v>
      </c>
      <c r="J20" s="77">
        <f t="shared" si="0"/>
        <v>0.90159341399952875</v>
      </c>
      <c r="K20" s="78">
        <f t="shared" si="2"/>
        <v>-92.168668100000104</v>
      </c>
      <c r="L20" s="78">
        <f>+I20-F20</f>
        <v>-41.440683612499996</v>
      </c>
      <c r="M20" s="57"/>
    </row>
    <row r="21" spans="2:13">
      <c r="B21" s="18" t="s">
        <v>18</v>
      </c>
      <c r="C21" s="16"/>
      <c r="D21" s="44">
        <f>+D20/D19*1000</f>
        <v>36.617908261703249</v>
      </c>
      <c r="E21" s="60">
        <f>+E20/E19*1000</f>
        <v>36.739342452376277</v>
      </c>
      <c r="F21" s="60"/>
      <c r="G21" s="44">
        <f>+G20/G19*1000</f>
        <v>30.551671864485272</v>
      </c>
      <c r="H21" s="74">
        <f>+H20/H19*1000</f>
        <v>30.551696828486453</v>
      </c>
      <c r="I21" s="74"/>
      <c r="J21" s="75">
        <f t="shared" si="0"/>
        <v>0.83433689456362703</v>
      </c>
      <c r="K21" s="76">
        <f t="shared" si="2"/>
        <v>-6.0662363972179776</v>
      </c>
      <c r="L21" s="81">
        <f>+H21/E21</f>
        <v>0.83157984844419519</v>
      </c>
      <c r="M21" s="82">
        <f>+H21-E21</f>
        <v>-6.187645623889825</v>
      </c>
    </row>
    <row r="22" spans="2:13">
      <c r="B22" s="18" t="s">
        <v>21</v>
      </c>
      <c r="C22" s="16"/>
      <c r="D22" s="46">
        <f>+D19/D18</f>
        <v>9.2688979295467752E-2</v>
      </c>
      <c r="E22" s="46">
        <f>+E19/E18</f>
        <v>9.2688979295467752E-2</v>
      </c>
      <c r="F22" s="61"/>
      <c r="G22" s="53">
        <f>+G19/G18</f>
        <v>8.7980010185892535E-2</v>
      </c>
      <c r="H22" s="46">
        <f>+H19/H18</f>
        <v>8.7980010185892535E-2</v>
      </c>
      <c r="I22" s="61"/>
      <c r="J22" s="75">
        <f t="shared" si="0"/>
        <v>0.94919601936100428</v>
      </c>
      <c r="K22" s="76">
        <f t="shared" si="2"/>
        <v>-4.7089691095752173E-3</v>
      </c>
      <c r="L22" s="57"/>
      <c r="M22" s="57"/>
    </row>
    <row r="23" spans="2:13">
      <c r="B23" s="10" t="s">
        <v>28</v>
      </c>
      <c r="C23" s="10"/>
      <c r="D23" s="48">
        <f>+D20*1000/(D18*D21)*100</f>
        <v>9.2688979295467746</v>
      </c>
      <c r="E23" s="48">
        <f>+E20*1000/(E18*E21)*100</f>
        <v>9.2688979295467746</v>
      </c>
      <c r="F23" s="62"/>
      <c r="G23" s="48">
        <f>+G20/(G18*G21)*1000*100</f>
        <v>8.7980010185892557</v>
      </c>
      <c r="H23" s="48">
        <f>+H20*1000/(H18*H21)*100</f>
        <v>8.7980010185892539</v>
      </c>
      <c r="I23" s="62"/>
      <c r="J23" s="75">
        <f t="shared" si="0"/>
        <v>0.94919601936100462</v>
      </c>
      <c r="K23" s="76">
        <f t="shared" si="2"/>
        <v>-0.47089691095751895</v>
      </c>
      <c r="L23" s="57"/>
      <c r="M23" s="57"/>
    </row>
    <row r="24" spans="2:13">
      <c r="B24" s="18" t="s">
        <v>38</v>
      </c>
      <c r="C24" s="10"/>
      <c r="D24" s="48">
        <f>+D20/D18*1000</f>
        <v>3.3940765407123497</v>
      </c>
      <c r="E24" s="48">
        <f>+E20/E18*1000</f>
        <v>3.405332151897404</v>
      </c>
      <c r="F24" s="62"/>
      <c r="G24" s="48">
        <f>+G20/G18*1000</f>
        <v>2.6879364018334608</v>
      </c>
      <c r="H24" s="48">
        <f>+H20/H18*1000</f>
        <v>2.6879385981665389</v>
      </c>
      <c r="I24" s="62"/>
      <c r="J24" s="75">
        <f t="shared" si="0"/>
        <v>0.79194925912581693</v>
      </c>
      <c r="K24" s="76">
        <f t="shared" si="2"/>
        <v>-0.70614013887888882</v>
      </c>
      <c r="L24" s="57"/>
      <c r="M24" s="57"/>
    </row>
    <row r="25" spans="2:13" ht="7.5" customHeight="1">
      <c r="B25" s="16"/>
      <c r="E25" s="63"/>
      <c r="F25" s="62"/>
      <c r="G25" s="12"/>
      <c r="H25" s="63"/>
      <c r="I25" s="63"/>
      <c r="J25" s="80"/>
      <c r="K25" s="57"/>
      <c r="L25" s="63"/>
      <c r="M25" s="63"/>
    </row>
    <row r="26" spans="2:13">
      <c r="B26" s="20" t="s">
        <v>35</v>
      </c>
      <c r="C26" s="19"/>
      <c r="D26" s="21">
        <f>+D8/(1-D6/D5)</f>
        <v>4661.0115879298328</v>
      </c>
      <c r="E26" s="63"/>
      <c r="F26" s="62"/>
      <c r="G26" s="21">
        <f>+G8/(1-G6/G5)</f>
        <v>4055.6629852140618</v>
      </c>
      <c r="H26" s="63"/>
      <c r="I26" s="63"/>
      <c r="J26" s="37">
        <f>+G26/D26</f>
        <v>0.87012505948636054</v>
      </c>
      <c r="K26" s="21">
        <f>+G26-D26</f>
        <v>-605.34860271577099</v>
      </c>
    </row>
    <row r="27" spans="2:13">
      <c r="F27" s="63"/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H21" sqref="H21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9" width="8.7109375" customWidth="1"/>
    <col min="10" max="11" width="11.7109375" customWidth="1"/>
    <col min="12" max="13" width="10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6" t="s">
        <v>39</v>
      </c>
      <c r="M2" s="86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41</v>
      </c>
      <c r="E3" s="23" t="s">
        <v>24</v>
      </c>
      <c r="F3" s="3" t="s">
        <v>37</v>
      </c>
      <c r="G3" s="4" t="s">
        <v>42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24"/>
      <c r="N3" s="4"/>
      <c r="O3" s="6"/>
      <c r="P3" s="4"/>
      <c r="S3" s="4"/>
      <c r="T3" s="6"/>
    </row>
    <row r="4" spans="2:21">
      <c r="B4" s="43">
        <v>9405</v>
      </c>
      <c r="D4" s="22" t="s">
        <v>25</v>
      </c>
      <c r="E4" s="3" t="s">
        <v>26</v>
      </c>
      <c r="F4" s="3">
        <f>+'2014'!U4</f>
        <v>7</v>
      </c>
      <c r="G4" s="22" t="s">
        <v>25</v>
      </c>
      <c r="H4" s="3" t="s">
        <v>26</v>
      </c>
      <c r="I4" s="3">
        <f>+'2015'!U4</f>
        <v>10</v>
      </c>
      <c r="J4" s="25"/>
      <c r="M4" s="3"/>
    </row>
    <row r="5" spans="2:21">
      <c r="B5" s="10" t="s">
        <v>3</v>
      </c>
      <c r="C5" s="16"/>
      <c r="D5" s="8">
        <f>+'2014'!V5</f>
        <v>439.464</v>
      </c>
      <c r="E5" s="54">
        <f>+D5/$D$5</f>
        <v>1</v>
      </c>
      <c r="F5" s="83">
        <f>+D5/F4</f>
        <v>62.780571428571427</v>
      </c>
      <c r="G5" s="13">
        <f>+'2015'!V5</f>
        <v>673.56066999999996</v>
      </c>
      <c r="H5" s="54">
        <f>+G5/$G$5</f>
        <v>1</v>
      </c>
      <c r="I5" s="83">
        <f>+G5/I4</f>
        <v>67.356066999999996</v>
      </c>
      <c r="J5" s="75">
        <f t="shared" ref="J5:J23" si="0">+G5/D5</f>
        <v>1.5326867957329837</v>
      </c>
      <c r="K5" s="76">
        <f>+G5-D5</f>
        <v>234.09666999999996</v>
      </c>
      <c r="L5" s="76">
        <f>+I5-F5</f>
        <v>4.5754955714285686</v>
      </c>
      <c r="M5" s="76"/>
    </row>
    <row r="6" spans="2:21">
      <c r="B6" s="7" t="s">
        <v>4</v>
      </c>
      <c r="C6" s="16"/>
      <c r="D6" s="11">
        <f>+'2014'!V6</f>
        <v>212.89702790000001</v>
      </c>
      <c r="E6" s="55">
        <f>+D6/$D$5</f>
        <v>0.48444702615003737</v>
      </c>
      <c r="F6" s="67">
        <f>+D6/F4</f>
        <v>30.41386112857143</v>
      </c>
      <c r="G6" s="14">
        <f>+'2015'!V6</f>
        <v>186.82679999999999</v>
      </c>
      <c r="H6" s="55">
        <f>+G6/$G$5</f>
        <v>0.27737189583827693</v>
      </c>
      <c r="I6" s="67">
        <f>+G6/I4</f>
        <v>18.682679999999998</v>
      </c>
      <c r="J6" s="77">
        <f t="shared" si="0"/>
        <v>0.87754536473733447</v>
      </c>
      <c r="K6" s="78">
        <f>+G6-D6</f>
        <v>-26.07022790000002</v>
      </c>
      <c r="L6" s="78">
        <f>+I6-F6</f>
        <v>-11.731181128571432</v>
      </c>
      <c r="M6" s="76"/>
    </row>
    <row r="7" spans="2:21">
      <c r="B7" s="10" t="s">
        <v>7</v>
      </c>
      <c r="C7" s="16"/>
      <c r="D7" s="9">
        <f>+'2014'!V7</f>
        <v>226.56697209999999</v>
      </c>
      <c r="E7" s="56">
        <f>+D7/$D$5</f>
        <v>0.51555297384996268</v>
      </c>
      <c r="F7" s="85">
        <f>+F5-F6</f>
        <v>32.366710299999994</v>
      </c>
      <c r="G7" s="8">
        <f>+'2015'!V7</f>
        <v>486.73386999999997</v>
      </c>
      <c r="H7" s="56">
        <f>+G7/$G$5</f>
        <v>0.72262810416172307</v>
      </c>
      <c r="I7" s="85">
        <f>+I5-I6</f>
        <v>48.673386999999998</v>
      </c>
      <c r="J7" s="79">
        <f t="shared" si="0"/>
        <v>2.1483001934861448</v>
      </c>
      <c r="K7" s="76">
        <f>+G7-D7</f>
        <v>260.16689789999998</v>
      </c>
      <c r="L7" s="76">
        <f>+I7-F7</f>
        <v>16.306676700000004</v>
      </c>
      <c r="M7" s="57"/>
    </row>
    <row r="8" spans="2:21">
      <c r="B8" s="7" t="s">
        <v>5</v>
      </c>
      <c r="C8" s="16"/>
      <c r="D8" s="11">
        <f>+'2014'!V8</f>
        <v>456.75029010000003</v>
      </c>
      <c r="E8" s="55">
        <f>+D8/$D$5</f>
        <v>1.03933494006335</v>
      </c>
      <c r="F8" s="67">
        <f>+D8/F4</f>
        <v>65.250041442857153</v>
      </c>
      <c r="G8" s="14">
        <f>+'2015'!V8</f>
        <v>936.70100000000002</v>
      </c>
      <c r="H8" s="55">
        <f>+G8/$G$5</f>
        <v>1.3906705686957643</v>
      </c>
      <c r="I8" s="67">
        <f>+G8/I4</f>
        <v>93.670100000000005</v>
      </c>
      <c r="J8" s="77">
        <f t="shared" si="0"/>
        <v>2.0507945376343835</v>
      </c>
      <c r="K8" s="78">
        <f>+G8-D8</f>
        <v>479.95070989999999</v>
      </c>
      <c r="L8" s="78">
        <f>+I8-F8</f>
        <v>28.420058557142852</v>
      </c>
      <c r="M8" s="57"/>
    </row>
    <row r="9" spans="2:21">
      <c r="B9" s="18" t="s">
        <v>13</v>
      </c>
      <c r="C9" s="16"/>
      <c r="D9" s="15">
        <f>+D5-D6-D8</f>
        <v>-230.18331800000004</v>
      </c>
      <c r="E9" s="54">
        <f>+D9/$D$5</f>
        <v>-0.52378196621338735</v>
      </c>
      <c r="F9" s="15">
        <f>+F5-F6-F8</f>
        <v>-32.883331142857159</v>
      </c>
      <c r="G9" s="15">
        <f>+'2015'!V9</f>
        <v>-449.96713000000005</v>
      </c>
      <c r="H9" s="54">
        <f>+G9/$G$5</f>
        <v>-0.66804246453404126</v>
      </c>
      <c r="I9" s="15">
        <f>+I5-I6-I8</f>
        <v>-44.996713000000007</v>
      </c>
      <c r="J9" s="79">
        <f t="shared" si="0"/>
        <v>1.9548207659427344</v>
      </c>
      <c r="K9" s="76">
        <f>+G9-D9</f>
        <v>-219.78381200000001</v>
      </c>
      <c r="L9" s="76">
        <f>+I9-F9</f>
        <v>-12.113381857142848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0"/>
      <c r="K10" s="57"/>
      <c r="L10" s="57"/>
      <c r="M10" s="57"/>
    </row>
    <row r="11" spans="2:21">
      <c r="B11" s="17" t="s">
        <v>17</v>
      </c>
      <c r="C11" s="16"/>
      <c r="D11" s="11">
        <f>+'2014'!V11</f>
        <v>6</v>
      </c>
      <c r="E11" s="87"/>
      <c r="F11" s="67">
        <f>+D11/F4</f>
        <v>0.8571428571428571</v>
      </c>
      <c r="G11" s="14">
        <f>+'2015'!V11</f>
        <v>9</v>
      </c>
      <c r="H11" s="87"/>
      <c r="I11" s="67">
        <f>+G11/I4</f>
        <v>0.9</v>
      </c>
      <c r="J11" s="77">
        <f t="shared" si="0"/>
        <v>1.5</v>
      </c>
      <c r="K11" s="78">
        <f t="shared" ref="K11:K16" si="1">+G11-D11</f>
        <v>3</v>
      </c>
      <c r="L11" s="78">
        <f>+I11-F11</f>
        <v>4.2857142857142927E-2</v>
      </c>
      <c r="M11" s="57"/>
    </row>
    <row r="12" spans="2:21">
      <c r="B12" s="17" t="s">
        <v>14</v>
      </c>
      <c r="C12" s="16"/>
      <c r="D12" s="11">
        <f>+'2014'!V12</f>
        <v>351.9918399</v>
      </c>
      <c r="E12" s="87"/>
      <c r="F12" s="67">
        <f>+D12/F4</f>
        <v>50.284548557142855</v>
      </c>
      <c r="G12" s="14">
        <f>+'2015'!V12</f>
        <v>371.71875999999997</v>
      </c>
      <c r="H12" s="87"/>
      <c r="I12" s="67">
        <f>+G12/I4</f>
        <v>37.171875999999997</v>
      </c>
      <c r="J12" s="77">
        <f t="shared" si="0"/>
        <v>1.0560436858581845</v>
      </c>
      <c r="K12" s="78">
        <f t="shared" si="1"/>
        <v>19.726920099999973</v>
      </c>
      <c r="L12" s="78">
        <f>+I12-F12</f>
        <v>-13.112672557142858</v>
      </c>
      <c r="M12" s="57"/>
    </row>
    <row r="13" spans="2:21">
      <c r="B13" s="18" t="s">
        <v>19</v>
      </c>
      <c r="C13" s="16"/>
      <c r="D13" s="33">
        <f>+D12/D5</f>
        <v>0.80095716577467102</v>
      </c>
      <c r="E13" s="57"/>
      <c r="F13" s="33"/>
      <c r="G13" s="33">
        <f>+G12/G5</f>
        <v>0.55187123678109051</v>
      </c>
      <c r="H13" s="57"/>
      <c r="I13" s="33"/>
      <c r="J13" s="75">
        <f t="shared" si="0"/>
        <v>0.68901466940161626</v>
      </c>
      <c r="K13" s="54">
        <f t="shared" si="1"/>
        <v>-0.24908592899358051</v>
      </c>
      <c r="L13" s="57"/>
      <c r="M13" s="57"/>
    </row>
    <row r="14" spans="2:21">
      <c r="B14" s="18" t="s">
        <v>15</v>
      </c>
      <c r="C14" s="16"/>
      <c r="D14" s="8">
        <f>+D5/D11</f>
        <v>73.244</v>
      </c>
      <c r="E14" s="57"/>
      <c r="F14" s="8"/>
      <c r="G14" s="8">
        <f>+G5/G11</f>
        <v>74.84007444444444</v>
      </c>
      <c r="H14" s="57"/>
      <c r="I14" s="8"/>
      <c r="J14" s="75">
        <f t="shared" si="0"/>
        <v>1.0217911971553224</v>
      </c>
      <c r="K14" s="76">
        <f t="shared" si="1"/>
        <v>1.5960744444444401</v>
      </c>
      <c r="L14" s="57"/>
      <c r="M14" s="57"/>
    </row>
    <row r="15" spans="2:21">
      <c r="B15" s="10" t="s">
        <v>33</v>
      </c>
      <c r="C15" s="16"/>
      <c r="D15" s="8">
        <f>+D12/D11</f>
        <v>58.665306649999998</v>
      </c>
      <c r="E15" s="57"/>
      <c r="F15" s="8"/>
      <c r="G15" s="8">
        <f>+G12/G11</f>
        <v>41.302084444444439</v>
      </c>
      <c r="H15" s="57"/>
      <c r="I15" s="8"/>
      <c r="J15" s="75">
        <f t="shared" si="0"/>
        <v>0.70402912390545636</v>
      </c>
      <c r="K15" s="76">
        <f t="shared" si="1"/>
        <v>-17.363222205555559</v>
      </c>
      <c r="L15" s="57"/>
      <c r="M15" s="57"/>
    </row>
    <row r="16" spans="2:21">
      <c r="B16" s="18" t="s">
        <v>20</v>
      </c>
      <c r="C16" s="16"/>
      <c r="D16" s="33">
        <f>+D12/D7</f>
        <v>1.5535884892553589</v>
      </c>
      <c r="E16" s="57"/>
      <c r="F16" s="33"/>
      <c r="G16" s="33">
        <f>+G12/G7</f>
        <v>0.76370021260283361</v>
      </c>
      <c r="H16" s="57"/>
      <c r="I16" s="33"/>
      <c r="J16" s="75">
        <f t="shared" si="0"/>
        <v>0.49157175010280757</v>
      </c>
      <c r="K16" s="54">
        <f t="shared" si="1"/>
        <v>-0.78988827665252526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0"/>
      <c r="K17" s="57"/>
      <c r="L17" s="57"/>
      <c r="M17" s="57"/>
    </row>
    <row r="18" spans="2:13">
      <c r="B18" s="17" t="s">
        <v>22</v>
      </c>
      <c r="C18" s="16"/>
      <c r="D18" s="11">
        <f>+'2014'!V18</f>
        <v>42743.274740000001</v>
      </c>
      <c r="E18" s="58">
        <f>+'2014'!W18</f>
        <v>42743.274740000001</v>
      </c>
      <c r="F18" s="67">
        <f>+D18/F4</f>
        <v>6106.1821057142861</v>
      </c>
      <c r="G18" s="14">
        <f>+'2015'!V18</f>
        <v>48057</v>
      </c>
      <c r="H18" s="67">
        <f>+'2015'!W18</f>
        <v>48057</v>
      </c>
      <c r="I18" s="67">
        <f>+G18/I4</f>
        <v>4805.7</v>
      </c>
      <c r="J18" s="77">
        <f t="shared" si="0"/>
        <v>1.1243172239919024</v>
      </c>
      <c r="K18" s="78">
        <f t="shared" ref="K18:K23" si="2">+G18-D18</f>
        <v>5313.7252599999993</v>
      </c>
      <c r="L18" s="78">
        <f>+I18-F18</f>
        <v>-1300.4821057142863</v>
      </c>
      <c r="M18" s="84"/>
    </row>
    <row r="19" spans="2:13">
      <c r="B19" s="17" t="s">
        <v>16</v>
      </c>
      <c r="C19" s="16"/>
      <c r="D19" s="11">
        <f>+'2014'!V19</f>
        <v>3656.9065999999998</v>
      </c>
      <c r="E19" s="59">
        <f>+'2014'!W19</f>
        <v>3656.9065999999998</v>
      </c>
      <c r="F19" s="67">
        <f>+D19/F4</f>
        <v>522.41522857142854</v>
      </c>
      <c r="G19" s="14">
        <f>+'2015'!V19</f>
        <v>4103.28</v>
      </c>
      <c r="H19" s="67">
        <f>+'2015'!W19</f>
        <v>4103.28</v>
      </c>
      <c r="I19" s="67">
        <f>+G19/I4</f>
        <v>410.32799999999997</v>
      </c>
      <c r="J19" s="77">
        <f t="shared" si="0"/>
        <v>1.1220631120302607</v>
      </c>
      <c r="K19" s="78">
        <f t="shared" si="2"/>
        <v>446.37339999999995</v>
      </c>
      <c r="L19" s="78">
        <f>+I19-F19</f>
        <v>-112.08722857142857</v>
      </c>
      <c r="M19" s="84"/>
    </row>
    <row r="20" spans="2:13">
      <c r="B20" s="17" t="s">
        <v>27</v>
      </c>
      <c r="C20" s="16"/>
      <c r="D20" s="11">
        <f>+'2014'!V20</f>
        <v>133.8187069</v>
      </c>
      <c r="E20" s="59">
        <f>+'2014'!W20</f>
        <v>133.8187715</v>
      </c>
      <c r="F20" s="67">
        <f>+D20/F4</f>
        <v>19.116958128571429</v>
      </c>
      <c r="G20" s="14">
        <f>+'2015'!V20</f>
        <v>124.83580000000001</v>
      </c>
      <c r="H20" s="67">
        <f>+'2015'!W20</f>
        <v>124.83580000000001</v>
      </c>
      <c r="I20" s="67">
        <f>+G20/I4</f>
        <v>12.48358</v>
      </c>
      <c r="J20" s="77">
        <f t="shared" si="0"/>
        <v>0.93287256237864613</v>
      </c>
      <c r="K20" s="78">
        <f t="shared" si="2"/>
        <v>-8.982906899999989</v>
      </c>
      <c r="L20" s="78">
        <f>+I20-F20</f>
        <v>-6.6333781285714295</v>
      </c>
      <c r="M20" s="57"/>
    </row>
    <row r="21" spans="2:13">
      <c r="B21" s="18" t="s">
        <v>18</v>
      </c>
      <c r="C21" s="16"/>
      <c r="D21" s="44">
        <f>+D20/D19*1000</f>
        <v>36.593416659862193</v>
      </c>
      <c r="E21" s="60">
        <f>+E20/E19*1000</f>
        <v>36.593434325065893</v>
      </c>
      <c r="F21" s="60"/>
      <c r="G21" s="44">
        <f>+G20/G19*1000</f>
        <v>30.423417363670044</v>
      </c>
      <c r="H21" s="74">
        <f>+H20/H19*1000</f>
        <v>30.423417363670044</v>
      </c>
      <c r="I21" s="60"/>
      <c r="J21" s="75">
        <f t="shared" si="0"/>
        <v>0.83139045600626393</v>
      </c>
      <c r="K21" s="76">
        <f t="shared" si="2"/>
        <v>-6.1699992961921488</v>
      </c>
      <c r="L21" s="81">
        <f>+H21/E21</f>
        <v>0.83139005465880833</v>
      </c>
      <c r="M21" s="82">
        <f>+H21-E21</f>
        <v>-6.1700169613958487</v>
      </c>
    </row>
    <row r="22" spans="2:13">
      <c r="B22" s="18" t="s">
        <v>21</v>
      </c>
      <c r="C22" s="16"/>
      <c r="D22" s="46">
        <f>+D19/D18</f>
        <v>8.5555134047270234E-2</v>
      </c>
      <c r="E22" s="46">
        <f>+E19/E18</f>
        <v>8.5555134047270234E-2</v>
      </c>
      <c r="F22" s="61"/>
      <c r="G22" s="53">
        <f>+G19/G18</f>
        <v>8.5383606966727005E-2</v>
      </c>
      <c r="H22" s="46">
        <f>+H19/H18</f>
        <v>8.5383606966727005E-2</v>
      </c>
      <c r="I22" s="61"/>
      <c r="J22" s="75">
        <f t="shared" si="0"/>
        <v>0.99799512814218183</v>
      </c>
      <c r="K22" s="76">
        <f t="shared" si="2"/>
        <v>-1.7152708054322952E-4</v>
      </c>
      <c r="L22" s="57"/>
      <c r="M22" s="57"/>
    </row>
    <row r="23" spans="2:13">
      <c r="B23" s="10" t="s">
        <v>28</v>
      </c>
      <c r="C23" s="10"/>
      <c r="D23" s="48">
        <f>+D20*1000/(D18*D21)*100</f>
        <v>8.5555134047270229</v>
      </c>
      <c r="E23" s="48">
        <f>+E20*1000/(E18*E21)*100</f>
        <v>8.5555134047270229</v>
      </c>
      <c r="F23" s="62"/>
      <c r="G23" s="48">
        <f>+G20/(G18*G21)*1000*100</f>
        <v>8.5383606966727008</v>
      </c>
      <c r="H23" s="48">
        <f>+H20*1000/(H18*H21)*100</f>
        <v>8.5383606966727008</v>
      </c>
      <c r="I23" s="62"/>
      <c r="J23" s="75">
        <f t="shared" si="0"/>
        <v>0.99799512814218194</v>
      </c>
      <c r="K23" s="76">
        <f t="shared" si="2"/>
        <v>-1.7152708054322119E-2</v>
      </c>
      <c r="L23" s="57"/>
      <c r="M23" s="57"/>
    </row>
    <row r="24" spans="2:13">
      <c r="B24" s="18" t="s">
        <v>38</v>
      </c>
      <c r="C24" s="10"/>
      <c r="D24" s="48">
        <f>+D20/D18*1000</f>
        <v>3.1307546675821216</v>
      </c>
      <c r="E24" s="48">
        <f>+E20/E18*1000</f>
        <v>3.1307561789309921</v>
      </c>
      <c r="F24" s="62"/>
      <c r="G24" s="48">
        <f>+G20/G18*1000</f>
        <v>2.5976611107643008</v>
      </c>
      <c r="H24" s="48">
        <f>+H20/H18*1000</f>
        <v>2.5976611107643008</v>
      </c>
      <c r="I24" s="62"/>
      <c r="J24" s="75">
        <f t="shared" ref="J24" si="3">+G24/D24</f>
        <v>0.82972362467815841</v>
      </c>
      <c r="K24" s="76">
        <f t="shared" ref="K24" si="4">+G24-D24</f>
        <v>-0.53309355681782078</v>
      </c>
      <c r="L24" s="57"/>
      <c r="M24" s="57"/>
    </row>
    <row r="25" spans="2:13" ht="7.5" customHeight="1">
      <c r="B25" s="16"/>
      <c r="C25" s="38"/>
      <c r="D25" s="38"/>
      <c r="E25" s="57"/>
      <c r="F25" s="62"/>
      <c r="G25" s="39"/>
      <c r="H25" s="57"/>
      <c r="I25" s="62"/>
      <c r="J25" s="80"/>
      <c r="K25" s="57"/>
      <c r="L25" s="57"/>
      <c r="M25" s="57"/>
    </row>
    <row r="26" spans="2:13">
      <c r="B26" s="20" t="s">
        <v>35</v>
      </c>
      <c r="C26" s="40"/>
      <c r="D26" s="21">
        <f>+D8/(1-D6/D5)</f>
        <v>885.94249915610897</v>
      </c>
      <c r="E26" s="57"/>
      <c r="F26" s="63"/>
      <c r="G26" s="21">
        <f>+G8/(1-G6/G5)</f>
        <v>1296.2421397748014</v>
      </c>
      <c r="H26" s="57"/>
      <c r="I26" s="63"/>
      <c r="J26" s="37">
        <f>+G26/D26</f>
        <v>1.4631222015080179</v>
      </c>
      <c r="K26" s="21">
        <f>+G26-D26</f>
        <v>410.29964061869248</v>
      </c>
      <c r="L26" s="57"/>
      <c r="M26" s="57"/>
    </row>
    <row r="27" spans="2:13">
      <c r="F27" s="63"/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5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W1" sqref="W1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" t="s">
        <v>2</v>
      </c>
      <c r="E2" s="70" t="s">
        <v>23</v>
      </c>
      <c r="F2" s="52" t="s">
        <v>36</v>
      </c>
      <c r="G2" s="3" t="s">
        <v>2</v>
      </c>
      <c r="H2" s="70" t="s">
        <v>23</v>
      </c>
      <c r="I2" s="52" t="s">
        <v>36</v>
      </c>
      <c r="J2" s="3" t="s">
        <v>2</v>
      </c>
      <c r="K2" s="70" t="s">
        <v>23</v>
      </c>
      <c r="L2" s="52" t="s">
        <v>36</v>
      </c>
      <c r="M2" s="3" t="s">
        <v>2</v>
      </c>
      <c r="N2" s="70" t="s">
        <v>23</v>
      </c>
      <c r="O2" s="52" t="s">
        <v>36</v>
      </c>
      <c r="P2" s="3" t="s">
        <v>2</v>
      </c>
      <c r="Q2" s="70" t="s">
        <v>23</v>
      </c>
      <c r="R2" s="52" t="s">
        <v>36</v>
      </c>
      <c r="S2" s="3" t="s">
        <v>2</v>
      </c>
      <c r="T2" s="70" t="s">
        <v>23</v>
      </c>
      <c r="U2" s="52" t="s">
        <v>36</v>
      </c>
      <c r="V2" s="3" t="s">
        <v>2</v>
      </c>
      <c r="W2" s="70" t="s">
        <v>23</v>
      </c>
      <c r="X2" s="52" t="s">
        <v>36</v>
      </c>
      <c r="Y2" s="3" t="s">
        <v>2</v>
      </c>
      <c r="Z2" s="70" t="s">
        <v>23</v>
      </c>
      <c r="AA2" s="52" t="s">
        <v>36</v>
      </c>
      <c r="AB2" s="3" t="s">
        <v>2</v>
      </c>
      <c r="AC2" s="70" t="s">
        <v>23</v>
      </c>
      <c r="AD2" s="52" t="s">
        <v>36</v>
      </c>
      <c r="AE2" s="3" t="s">
        <v>2</v>
      </c>
      <c r="AF2" s="70" t="s">
        <v>23</v>
      </c>
      <c r="AG2" s="52" t="s">
        <v>36</v>
      </c>
      <c r="AH2" s="3" t="s">
        <v>2</v>
      </c>
      <c r="AI2" s="70" t="s">
        <v>23</v>
      </c>
      <c r="AJ2" s="52" t="s">
        <v>36</v>
      </c>
      <c r="AK2" s="3" t="s">
        <v>2</v>
      </c>
      <c r="AL2" s="70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52" t="s">
        <v>12</v>
      </c>
      <c r="AT2" s="50"/>
      <c r="AU2" s="52" t="s">
        <v>36</v>
      </c>
    </row>
    <row r="3" spans="2:47">
      <c r="B3" s="42" t="s">
        <v>1</v>
      </c>
      <c r="C3" s="50"/>
      <c r="D3" s="4" t="s">
        <v>54</v>
      </c>
      <c r="E3" s="71" t="s">
        <v>24</v>
      </c>
      <c r="F3" s="3" t="s">
        <v>37</v>
      </c>
      <c r="G3" s="4" t="s">
        <v>55</v>
      </c>
      <c r="H3" s="71" t="s">
        <v>24</v>
      </c>
      <c r="I3" s="3" t="s">
        <v>37</v>
      </c>
      <c r="J3" s="4" t="s">
        <v>56</v>
      </c>
      <c r="K3" s="71" t="s">
        <v>24</v>
      </c>
      <c r="L3" s="3" t="s">
        <v>37</v>
      </c>
      <c r="M3" s="4" t="s">
        <v>57</v>
      </c>
      <c r="N3" s="71" t="s">
        <v>24</v>
      </c>
      <c r="O3" s="3" t="s">
        <v>37</v>
      </c>
      <c r="P3" s="4" t="s">
        <v>58</v>
      </c>
      <c r="Q3" s="71" t="s">
        <v>24</v>
      </c>
      <c r="R3" s="3" t="s">
        <v>37</v>
      </c>
      <c r="S3" s="4" t="s">
        <v>59</v>
      </c>
      <c r="T3" s="71" t="s">
        <v>24</v>
      </c>
      <c r="U3" s="3" t="s">
        <v>37</v>
      </c>
      <c r="V3" s="4" t="s">
        <v>41</v>
      </c>
      <c r="W3" s="71" t="s">
        <v>24</v>
      </c>
      <c r="X3" s="3" t="s">
        <v>37</v>
      </c>
      <c r="Y3" s="4" t="s">
        <v>40</v>
      </c>
      <c r="Z3" s="71" t="s">
        <v>24</v>
      </c>
      <c r="AA3" s="3" t="s">
        <v>37</v>
      </c>
      <c r="AB3" s="4" t="s">
        <v>6</v>
      </c>
      <c r="AC3" s="71" t="s">
        <v>24</v>
      </c>
      <c r="AD3" s="3" t="s">
        <v>37</v>
      </c>
      <c r="AE3" s="4" t="s">
        <v>8</v>
      </c>
      <c r="AF3" s="71" t="s">
        <v>24</v>
      </c>
      <c r="AG3" s="3" t="s">
        <v>37</v>
      </c>
      <c r="AH3" s="4" t="s">
        <v>9</v>
      </c>
      <c r="AI3" s="71" t="s">
        <v>24</v>
      </c>
      <c r="AJ3" s="3" t="s">
        <v>37</v>
      </c>
      <c r="AK3" s="4" t="s">
        <v>10</v>
      </c>
      <c r="AL3" s="71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3" t="s">
        <v>31</v>
      </c>
      <c r="AT3" s="23" t="s">
        <v>24</v>
      </c>
      <c r="AU3" s="3" t="s">
        <v>37</v>
      </c>
    </row>
    <row r="4" spans="2:47">
      <c r="B4" s="43">
        <v>9405</v>
      </c>
      <c r="C4" s="50"/>
      <c r="D4" s="89"/>
      <c r="E4" s="34" t="s">
        <v>26</v>
      </c>
      <c r="F4" s="3">
        <v>7</v>
      </c>
      <c r="G4" s="89"/>
      <c r="H4" s="34" t="s">
        <v>26</v>
      </c>
      <c r="I4" s="3">
        <v>7</v>
      </c>
      <c r="J4" s="89"/>
      <c r="K4" s="34" t="s">
        <v>26</v>
      </c>
      <c r="L4" s="3">
        <v>7</v>
      </c>
      <c r="M4" s="89"/>
      <c r="N4" s="34" t="s">
        <v>26</v>
      </c>
      <c r="O4" s="3">
        <v>7</v>
      </c>
      <c r="P4" s="89"/>
      <c r="Q4" s="34" t="s">
        <v>26</v>
      </c>
      <c r="R4" s="3">
        <v>7</v>
      </c>
      <c r="S4" s="89"/>
      <c r="T4" s="34" t="s">
        <v>26</v>
      </c>
      <c r="U4" s="3">
        <v>7</v>
      </c>
      <c r="V4" s="89"/>
      <c r="W4" s="34" t="s">
        <v>26</v>
      </c>
      <c r="X4" s="3">
        <v>7</v>
      </c>
      <c r="Y4" s="89"/>
      <c r="Z4" s="34" t="s">
        <v>26</v>
      </c>
      <c r="AA4" s="3">
        <v>0</v>
      </c>
      <c r="AB4" s="50"/>
      <c r="AC4" s="34" t="s">
        <v>26</v>
      </c>
      <c r="AD4" s="3">
        <v>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7</v>
      </c>
      <c r="AS4" s="42">
        <v>7</v>
      </c>
      <c r="AT4" s="3" t="s">
        <v>26</v>
      </c>
      <c r="AU4" s="3">
        <f>+AR4</f>
        <v>7</v>
      </c>
    </row>
    <row r="5" spans="2:47">
      <c r="B5" s="10" t="s">
        <v>3</v>
      </c>
      <c r="C5" s="16"/>
      <c r="D5" s="90">
        <v>755.81200000000001</v>
      </c>
      <c r="E5" s="64">
        <f>+D5/D5</f>
        <v>1</v>
      </c>
      <c r="F5" s="83">
        <f>+D5/F4</f>
        <v>107.97314285714286</v>
      </c>
      <c r="G5" s="90">
        <v>438.94200000000001</v>
      </c>
      <c r="H5" s="64">
        <f>+G5/G5</f>
        <v>1</v>
      </c>
      <c r="I5" s="83">
        <f>+G5/I4</f>
        <v>62.706000000000003</v>
      </c>
      <c r="J5" s="90">
        <v>1.02</v>
      </c>
      <c r="K5" s="64">
        <f>+J5/J5</f>
        <v>1</v>
      </c>
      <c r="L5" s="83">
        <f>+J5/L4</f>
        <v>0.14571428571428571</v>
      </c>
      <c r="M5" s="90">
        <v>281.99912999999998</v>
      </c>
      <c r="N5" s="64">
        <f>+M5/M5</f>
        <v>1</v>
      </c>
      <c r="O5" s="83">
        <f>+M5/O4</f>
        <v>40.285589999999999</v>
      </c>
      <c r="P5" s="90">
        <v>1826.5730000000001</v>
      </c>
      <c r="Q5" s="64">
        <f>+P5/P5</f>
        <v>1</v>
      </c>
      <c r="R5" s="83">
        <f>+P5/R4</f>
        <v>260.93900000000002</v>
      </c>
      <c r="S5" s="90">
        <v>760.69399999999996</v>
      </c>
      <c r="T5" s="64">
        <f>+S5/S5</f>
        <v>1</v>
      </c>
      <c r="U5" s="83">
        <f>+S5/U4</f>
        <v>108.67057142857142</v>
      </c>
      <c r="V5" s="90">
        <v>439.464</v>
      </c>
      <c r="W5" s="64">
        <f>+V5/V5</f>
        <v>1</v>
      </c>
      <c r="X5" s="83">
        <f>+V5/X4</f>
        <v>62.780571428571427</v>
      </c>
      <c r="Y5" s="90">
        <v>0</v>
      </c>
      <c r="Z5" s="64" t="e">
        <f>+Y5/Y5</f>
        <v>#DIV/0!</v>
      </c>
      <c r="AA5" s="83" t="e">
        <f>+Y5/AA4</f>
        <v>#DIV/0!</v>
      </c>
      <c r="AB5" s="9">
        <v>0</v>
      </c>
      <c r="AC5" s="54" t="e">
        <f>+AB5/$AB$5</f>
        <v>#DIV/0!</v>
      </c>
      <c r="AD5" s="83" t="e">
        <f>+AB5/AD4</f>
        <v>#DIV/0!</v>
      </c>
      <c r="AE5" s="9">
        <v>0</v>
      </c>
      <c r="AF5" s="54" t="e">
        <f>+AE5/$AE$5</f>
        <v>#DIV/0!</v>
      </c>
      <c r="AG5" s="83" t="e">
        <f>+AE5/AG4</f>
        <v>#DIV/0!</v>
      </c>
      <c r="AH5" s="9">
        <v>0</v>
      </c>
      <c r="AI5" s="54" t="e">
        <f>+AH5/$AH$5</f>
        <v>#DIV/0!</v>
      </c>
      <c r="AJ5" s="83" t="e">
        <f>+AH5/AJ4</f>
        <v>#DIV/0!</v>
      </c>
      <c r="AK5" s="9">
        <v>0</v>
      </c>
      <c r="AL5" s="54" t="e">
        <f>+AK5/$AK$5</f>
        <v>#DIV/0!</v>
      </c>
      <c r="AM5" s="83" t="e">
        <f>+AK5/AM4</f>
        <v>#DIV/0!</v>
      </c>
      <c r="AN5" s="16"/>
      <c r="AO5" s="16"/>
      <c r="AP5" s="30">
        <f>+V5+AB5+AE5+AH5+AK5+Y5+S5+P5+M5+J5+D5+G5</f>
        <v>4504.5041299999993</v>
      </c>
      <c r="AQ5" s="64">
        <f>+AP5/$AP$5</f>
        <v>1</v>
      </c>
      <c r="AR5" s="83">
        <f>+AP5/AR4</f>
        <v>643.50058999999987</v>
      </c>
      <c r="AS5" s="30">
        <f>+AP5/$AS$4</f>
        <v>643.50058999999987</v>
      </c>
      <c r="AT5" s="57"/>
      <c r="AU5" s="83">
        <f>+AS5/AU4</f>
        <v>91.928655714285696</v>
      </c>
    </row>
    <row r="6" spans="2:47">
      <c r="B6" s="7" t="s">
        <v>4</v>
      </c>
      <c r="C6" s="16"/>
      <c r="D6" s="91">
        <v>283.26918999999998</v>
      </c>
      <c r="E6" s="65">
        <f>+D6/D5</f>
        <v>0.37478789699025683</v>
      </c>
      <c r="F6" s="84">
        <f>+D6/F4</f>
        <v>40.467027142857141</v>
      </c>
      <c r="G6" s="91">
        <f>(6.21226+157.96971+13.4065+183.831)*0.747164</f>
        <v>270.03961688307999</v>
      </c>
      <c r="H6" s="65">
        <f>+G6/G5</f>
        <v>0.61520569205744724</v>
      </c>
      <c r="I6" s="84">
        <f>+G6/I4</f>
        <v>38.577088126154287</v>
      </c>
      <c r="J6" s="91">
        <v>204.09510900000001</v>
      </c>
      <c r="K6" s="65">
        <f>+J6/J5</f>
        <v>200.09324411764706</v>
      </c>
      <c r="L6" s="84">
        <f>+J6/L4</f>
        <v>29.156444142857143</v>
      </c>
      <c r="M6" s="91">
        <f>126.7669388+125.6167308</f>
        <v>252.38366960000002</v>
      </c>
      <c r="N6" s="65">
        <f>+M6/M5</f>
        <v>0.89498031288252566</v>
      </c>
      <c r="O6" s="84">
        <f>+M6/O4</f>
        <v>36.054809942857148</v>
      </c>
      <c r="P6" s="91">
        <f>139.7244248+214.985219</f>
        <v>354.70964379999998</v>
      </c>
      <c r="Q6" s="65">
        <f>+P6/P5</f>
        <v>0.19419406933092734</v>
      </c>
      <c r="R6" s="84">
        <f>+P6/R4</f>
        <v>50.672806257142852</v>
      </c>
      <c r="S6" s="91">
        <v>215.63942</v>
      </c>
      <c r="T6" s="65">
        <f>+S6/S5</f>
        <v>0.28347721948641635</v>
      </c>
      <c r="U6" s="84">
        <f>+S6/U4</f>
        <v>30.805631428571427</v>
      </c>
      <c r="V6" s="91">
        <f>133.8187069+79.078321</f>
        <v>212.89702790000001</v>
      </c>
      <c r="W6" s="65">
        <f>+V6/V5</f>
        <v>0.48444702615003737</v>
      </c>
      <c r="X6" s="84">
        <f>+V6/X4</f>
        <v>30.41386112857143</v>
      </c>
      <c r="Y6" s="91">
        <v>0</v>
      </c>
      <c r="Z6" s="65" t="e">
        <f>+Y6/Y5</f>
        <v>#DIV/0!</v>
      </c>
      <c r="AA6" s="84" t="e">
        <f>+Y6/AA4</f>
        <v>#DIV/0!</v>
      </c>
      <c r="AB6" s="11">
        <v>0</v>
      </c>
      <c r="AC6" s="55" t="e">
        <f>+AB6/$AB$5</f>
        <v>#DIV/0!</v>
      </c>
      <c r="AD6" s="84" t="e">
        <f>+AB6/AD4</f>
        <v>#DIV/0!</v>
      </c>
      <c r="AE6" s="11">
        <v>0</v>
      </c>
      <c r="AF6" s="55" t="e">
        <f>+AE6/$AE$5</f>
        <v>#DIV/0!</v>
      </c>
      <c r="AG6" s="84" t="e">
        <f>+AE6/AG4</f>
        <v>#DIV/0!</v>
      </c>
      <c r="AH6" s="11">
        <v>0</v>
      </c>
      <c r="AI6" s="55" t="e">
        <f>+AH6/$AH$5</f>
        <v>#DIV/0!</v>
      </c>
      <c r="AJ6" s="84" t="e">
        <f>+AH6/AJ4</f>
        <v>#DIV/0!</v>
      </c>
      <c r="AK6" s="11">
        <v>0</v>
      </c>
      <c r="AL6" s="55" t="e">
        <f>+AK6/$AK$5</f>
        <v>#DIV/0!</v>
      </c>
      <c r="AM6" s="84" t="e">
        <f>+AK6/AM4</f>
        <v>#DIV/0!</v>
      </c>
      <c r="AN6" s="16"/>
      <c r="AO6" s="16"/>
      <c r="AP6" s="96">
        <f>+V6+AB6+AE6+AH6+AK6+Y6+S6+P6+M6+J6+D6+G6</f>
        <v>1793.03367718308</v>
      </c>
      <c r="AQ6" s="65">
        <f>+AP6/$AP$5</f>
        <v>0.39805350942881262</v>
      </c>
      <c r="AR6" s="84">
        <f>+AP6/AR4</f>
        <v>256.14766816901141</v>
      </c>
      <c r="AS6" s="14">
        <f t="shared" ref="AS6:AS9" si="0">+AP6/$AS$4</f>
        <v>256.14766816901141</v>
      </c>
      <c r="AT6" s="57"/>
      <c r="AU6" s="84">
        <f>+AS6/AU4</f>
        <v>36.592524024144488</v>
      </c>
    </row>
    <row r="7" spans="2:47">
      <c r="B7" s="10" t="s">
        <v>7</v>
      </c>
      <c r="C7" s="16"/>
      <c r="D7" s="36">
        <f>+D5-D6</f>
        <v>472.54281000000003</v>
      </c>
      <c r="E7" s="65">
        <f>+D7/D5</f>
        <v>0.62521210300974317</v>
      </c>
      <c r="F7" s="85">
        <f>+F5-F6</f>
        <v>67.506115714285727</v>
      </c>
      <c r="G7" s="36">
        <f>+G5-G6</f>
        <v>168.90238311692002</v>
      </c>
      <c r="H7" s="65">
        <f>+G7/G5</f>
        <v>0.38479430794255282</v>
      </c>
      <c r="I7" s="85">
        <f>+I5-I6</f>
        <v>24.128911873845716</v>
      </c>
      <c r="J7" s="36">
        <f>+J5-J6</f>
        <v>-203.075109</v>
      </c>
      <c r="K7" s="65">
        <f>+J7/J5</f>
        <v>-199.09324411764706</v>
      </c>
      <c r="L7" s="85">
        <f>+L5-L6</f>
        <v>-29.010729857142859</v>
      </c>
      <c r="M7" s="36">
        <f>+M5-M6</f>
        <v>29.615460399999961</v>
      </c>
      <c r="N7" s="65">
        <f>+M7/M5</f>
        <v>0.10501968711747431</v>
      </c>
      <c r="O7" s="85">
        <f>+O5-O6</f>
        <v>4.2307800571428515</v>
      </c>
      <c r="P7" s="36">
        <f>+P5-P6</f>
        <v>1471.8633562</v>
      </c>
      <c r="Q7" s="65">
        <f>+P7/P5</f>
        <v>0.80580593066907258</v>
      </c>
      <c r="R7" s="85">
        <f>+R5-R6</f>
        <v>210.26619374285718</v>
      </c>
      <c r="S7" s="36">
        <f>+S5-S6</f>
        <v>545.05457999999999</v>
      </c>
      <c r="T7" s="65">
        <f>+S7/S5</f>
        <v>0.71652278051358365</v>
      </c>
      <c r="U7" s="85">
        <f>+U5-U6</f>
        <v>77.86493999999999</v>
      </c>
      <c r="V7" s="36">
        <f>+V5-V6</f>
        <v>226.56697209999999</v>
      </c>
      <c r="W7" s="65">
        <f>+V7/V5</f>
        <v>0.51555297384996268</v>
      </c>
      <c r="X7" s="85">
        <f>+X5-X6</f>
        <v>32.366710299999994</v>
      </c>
      <c r="Y7" s="36">
        <f>+Y5-Y6</f>
        <v>0</v>
      </c>
      <c r="Z7" s="65" t="e">
        <f>+Y7/Y5</f>
        <v>#DIV/0!</v>
      </c>
      <c r="AA7" s="85" t="e">
        <f>+AA5-AA6</f>
        <v>#DIV/0!</v>
      </c>
      <c r="AB7" s="8">
        <f>+AB5-AB6</f>
        <v>0</v>
      </c>
      <c r="AC7" s="56" t="e">
        <f>+AB7/$AB$5</f>
        <v>#DIV/0!</v>
      </c>
      <c r="AD7" s="85" t="e">
        <f>+AD5-AD6</f>
        <v>#DIV/0!</v>
      </c>
      <c r="AE7" s="8">
        <f>+AE5-AE6</f>
        <v>0</v>
      </c>
      <c r="AF7" s="56" t="e">
        <f>+AE7/$AE$5</f>
        <v>#DIV/0!</v>
      </c>
      <c r="AG7" s="85" t="e">
        <f>+AG5-AG6</f>
        <v>#DIV/0!</v>
      </c>
      <c r="AH7" s="8">
        <f>+AH5-AH6</f>
        <v>0</v>
      </c>
      <c r="AI7" s="56" t="e">
        <f>+AH7/$AH$5</f>
        <v>#DIV/0!</v>
      </c>
      <c r="AJ7" s="85" t="e">
        <f>+AJ5-AJ6</f>
        <v>#DIV/0!</v>
      </c>
      <c r="AK7" s="8">
        <f>+AK5-AK6</f>
        <v>0</v>
      </c>
      <c r="AL7" s="56" t="e">
        <f>+AK7/$AK$5</f>
        <v>#DIV/0!</v>
      </c>
      <c r="AM7" s="85" t="e">
        <f>+AM5-AM6</f>
        <v>#DIV/0!</v>
      </c>
      <c r="AN7" s="16"/>
      <c r="AO7" s="16"/>
      <c r="AP7" s="30">
        <f>+V7+AB7+AE7+AH7+AK7+Y7+S7+P7+M7+J7+D7+G7</f>
        <v>2711.47045281692</v>
      </c>
      <c r="AQ7" s="65">
        <f>+AP7/$AP$5</f>
        <v>0.60194649057118754</v>
      </c>
      <c r="AR7" s="85">
        <f>+AR5-AR6</f>
        <v>387.35292183098846</v>
      </c>
      <c r="AS7" s="13">
        <f t="shared" si="0"/>
        <v>387.35292183098858</v>
      </c>
      <c r="AT7" s="57"/>
      <c r="AU7" s="85">
        <f>+AU5-AU6</f>
        <v>55.336131690141208</v>
      </c>
    </row>
    <row r="8" spans="2:47">
      <c r="B8" s="7" t="s">
        <v>5</v>
      </c>
      <c r="C8" s="16"/>
      <c r="D8" s="91">
        <v>442.44170000000003</v>
      </c>
      <c r="E8" s="65">
        <f>+D8/D5</f>
        <v>0.58538591607436774</v>
      </c>
      <c r="F8" s="84">
        <f>+D8/F4</f>
        <v>63.205957142857145</v>
      </c>
      <c r="G8" s="91">
        <f>1350.052*0.324713</f>
        <v>438.37943507599994</v>
      </c>
      <c r="H8" s="65">
        <f>+G8/G5</f>
        <v>0.99871836159674843</v>
      </c>
      <c r="I8" s="84">
        <f>+G8/I4</f>
        <v>62.625633582285708</v>
      </c>
      <c r="J8" s="91">
        <v>457.79813619999999</v>
      </c>
      <c r="K8" s="65">
        <f>+J8/J5</f>
        <v>448.82170215686273</v>
      </c>
      <c r="L8" s="84">
        <f>+J8/L4</f>
        <v>65.399733742857137</v>
      </c>
      <c r="M8" s="91">
        <f>98.28463739+259.0670742</f>
        <v>357.35171158999998</v>
      </c>
      <c r="N8" s="65">
        <f>+M8/M5</f>
        <v>1.2672085605015875</v>
      </c>
      <c r="O8" s="84">
        <f>+M8/O4</f>
        <v>51.050244512857141</v>
      </c>
      <c r="P8" s="91">
        <v>286.7699599</v>
      </c>
      <c r="Q8" s="65">
        <f>+P8/P5</f>
        <v>0.15699890445112238</v>
      </c>
      <c r="R8" s="84">
        <f>+P8/R4</f>
        <v>40.96713712857143</v>
      </c>
      <c r="S8" s="91">
        <f>86.824895+279.36344</f>
        <v>366.18833500000005</v>
      </c>
      <c r="T8" s="65">
        <f>+S8/S5</f>
        <v>0.48138717408051079</v>
      </c>
      <c r="U8" s="84">
        <f>+S8/U4</f>
        <v>52.312619285714291</v>
      </c>
      <c r="V8" s="91">
        <f>104.7584502+351.9918399</f>
        <v>456.75029010000003</v>
      </c>
      <c r="W8" s="65">
        <f>+V8/V5</f>
        <v>1.03933494006335</v>
      </c>
      <c r="X8" s="84">
        <f>+V8/X4</f>
        <v>65.250041442857153</v>
      </c>
      <c r="Y8" s="91">
        <v>0</v>
      </c>
      <c r="Z8" s="65" t="e">
        <f>+Y8/Y5</f>
        <v>#DIV/0!</v>
      </c>
      <c r="AA8" s="84" t="e">
        <f>+Y8/AA4</f>
        <v>#DIV/0!</v>
      </c>
      <c r="AB8" s="11">
        <v>0</v>
      </c>
      <c r="AC8" s="55" t="e">
        <f>+AB8/$AB$5</f>
        <v>#DIV/0!</v>
      </c>
      <c r="AD8" s="84" t="e">
        <f>+AB8/AD4</f>
        <v>#DIV/0!</v>
      </c>
      <c r="AE8" s="11">
        <v>0</v>
      </c>
      <c r="AF8" s="55" t="e">
        <f>+AE8/$AE$5</f>
        <v>#DIV/0!</v>
      </c>
      <c r="AG8" s="84" t="e">
        <f>+AE8/AG4</f>
        <v>#DIV/0!</v>
      </c>
      <c r="AH8" s="11">
        <v>0</v>
      </c>
      <c r="AI8" s="55" t="e">
        <f>+AH8/$AH$5</f>
        <v>#DIV/0!</v>
      </c>
      <c r="AJ8" s="84" t="e">
        <f>+AH8/AJ4</f>
        <v>#DIV/0!</v>
      </c>
      <c r="AK8" s="88">
        <v>0</v>
      </c>
      <c r="AL8" s="55" t="e">
        <f>+AK8/$AK$5</f>
        <v>#DIV/0!</v>
      </c>
      <c r="AM8" s="84" t="e">
        <f>+AK8/AM4</f>
        <v>#DIV/0!</v>
      </c>
      <c r="AN8" s="16"/>
      <c r="AO8" s="16"/>
      <c r="AP8" s="96">
        <f>+V8+AB8+AE8+AH8+AK8+Y8+S8+P8+M8+J8+D8+G8</f>
        <v>2805.6795678660001</v>
      </c>
      <c r="AQ8" s="65">
        <f>+AP8/$AP$5</f>
        <v>0.62286091585090864</v>
      </c>
      <c r="AR8" s="84">
        <f>+AP8/AR4</f>
        <v>400.81136683800003</v>
      </c>
      <c r="AS8" s="14">
        <f t="shared" si="0"/>
        <v>400.81136683800003</v>
      </c>
      <c r="AT8" s="57"/>
      <c r="AU8" s="84">
        <f>+AS8/AU4</f>
        <v>57.25876669114286</v>
      </c>
    </row>
    <row r="9" spans="2:47">
      <c r="B9" s="18" t="s">
        <v>13</v>
      </c>
      <c r="C9" s="16"/>
      <c r="D9" s="92">
        <f>+D5-D6-D8</f>
        <v>30.101110000000006</v>
      </c>
      <c r="E9" s="64">
        <f>+D9/D5</f>
        <v>3.9826186935375471E-2</v>
      </c>
      <c r="F9" s="15">
        <f>+F5-F6-F8</f>
        <v>4.3001585714285824</v>
      </c>
      <c r="G9" s="92">
        <f>+G5-G6-G8</f>
        <v>-269.47705195907992</v>
      </c>
      <c r="H9" s="64">
        <f>+G9/G5</f>
        <v>-0.61392405365419556</v>
      </c>
      <c r="I9" s="15">
        <f>+I5-I6-I8</f>
        <v>-38.496721708439992</v>
      </c>
      <c r="J9" s="92">
        <f>+J5-J6-J8</f>
        <v>-660.87324519999993</v>
      </c>
      <c r="K9" s="64">
        <f>+J9/J5</f>
        <v>-647.9149462745097</v>
      </c>
      <c r="L9" s="15">
        <f>+L5-L6-L8</f>
        <v>-94.4104636</v>
      </c>
      <c r="M9" s="92">
        <f>+M5-M6-M8</f>
        <v>-327.73625119000002</v>
      </c>
      <c r="N9" s="64">
        <f>+M9/M5</f>
        <v>-1.162188873384113</v>
      </c>
      <c r="O9" s="15">
        <f>+O5-O6-O8</f>
        <v>-46.819464455714289</v>
      </c>
      <c r="P9" s="92">
        <f>+P5-P6-P8</f>
        <v>1185.0933963</v>
      </c>
      <c r="Q9" s="64">
        <f>+P9/P5</f>
        <v>0.64880702621795017</v>
      </c>
      <c r="R9" s="15">
        <f>+R5-R6-R8</f>
        <v>169.29905661428575</v>
      </c>
      <c r="S9" s="92">
        <f>+S5-S6-S8</f>
        <v>178.86624499999994</v>
      </c>
      <c r="T9" s="64">
        <f>+S9/S5</f>
        <v>0.23513560643307288</v>
      </c>
      <c r="U9" s="15">
        <f>+U5-U6-U8</f>
        <v>25.552320714285699</v>
      </c>
      <c r="V9" s="92">
        <f>+V5-V6-V8</f>
        <v>-230.18331800000004</v>
      </c>
      <c r="W9" s="64">
        <f>+V9/V5</f>
        <v>-0.52378196621338735</v>
      </c>
      <c r="X9" s="15">
        <f>+X5-X6-X8</f>
        <v>-32.883331142857159</v>
      </c>
      <c r="Y9" s="92">
        <f>+Y5-Y6-Y8</f>
        <v>0</v>
      </c>
      <c r="Z9" s="6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+AB9/$AB$5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7">
        <f>+V9+AB9+AE9+AH9+AK9+Y9+S9+P9+M9+J9+D9+G9</f>
        <v>-94.209115049080083</v>
      </c>
      <c r="AQ9" s="64">
        <f>+AP9/$AP$5</f>
        <v>-2.0914425279721101E-2</v>
      </c>
      <c r="AR9" s="15">
        <f>+AR5-AR6-AR8</f>
        <v>-13.458445007011562</v>
      </c>
      <c r="AS9" s="29">
        <f t="shared" si="0"/>
        <v>-13.45844500701144</v>
      </c>
      <c r="AT9" s="57"/>
      <c r="AU9" s="15">
        <f>+AU5-AU6-AU8</f>
        <v>-1.9226350010016517</v>
      </c>
    </row>
    <row r="10" spans="2:47" ht="7.5" customHeight="1">
      <c r="B10" s="16"/>
      <c r="C10" s="16"/>
      <c r="D10" s="93"/>
      <c r="E10" s="72"/>
      <c r="F10" s="57"/>
      <c r="G10" s="93"/>
      <c r="H10" s="72"/>
      <c r="I10" s="57"/>
      <c r="J10" s="93"/>
      <c r="K10" s="72"/>
      <c r="L10" s="57"/>
      <c r="M10" s="93"/>
      <c r="N10" s="72"/>
      <c r="O10" s="57"/>
      <c r="P10" s="93"/>
      <c r="Q10" s="72"/>
      <c r="R10" s="57"/>
      <c r="S10" s="93"/>
      <c r="T10" s="72"/>
      <c r="U10" s="57"/>
      <c r="V10" s="93"/>
      <c r="W10" s="72"/>
      <c r="X10" s="57"/>
      <c r="Y10" s="93"/>
      <c r="Z10" s="72"/>
      <c r="AA10" s="57"/>
      <c r="AB10" s="32"/>
      <c r="AC10" s="57"/>
      <c r="AD10" s="57"/>
      <c r="AE10" s="32"/>
      <c r="AF10" s="57"/>
      <c r="AG10" s="57"/>
      <c r="AH10" s="16"/>
      <c r="AI10" s="16"/>
      <c r="AJ10" s="16"/>
      <c r="AK10" s="16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93">
        <v>6</v>
      </c>
      <c r="E11" s="72"/>
      <c r="F11" s="84">
        <f>+D11/F4</f>
        <v>0.8571428571428571</v>
      </c>
      <c r="G11" s="93">
        <v>6</v>
      </c>
      <c r="H11" s="72"/>
      <c r="I11" s="84">
        <f>+G11/I4</f>
        <v>0.8571428571428571</v>
      </c>
      <c r="J11" s="93">
        <v>6</v>
      </c>
      <c r="K11" s="72"/>
      <c r="L11" s="84">
        <f>+J11/L4</f>
        <v>0.8571428571428571</v>
      </c>
      <c r="M11" s="93">
        <v>6</v>
      </c>
      <c r="N11" s="72"/>
      <c r="O11" s="84">
        <f>+M11/O4</f>
        <v>0.8571428571428571</v>
      </c>
      <c r="P11" s="93">
        <v>6</v>
      </c>
      <c r="Q11" s="72"/>
      <c r="R11" s="84">
        <f>+P11/R4</f>
        <v>0.8571428571428571</v>
      </c>
      <c r="S11" s="93">
        <v>6</v>
      </c>
      <c r="T11" s="72"/>
      <c r="U11" s="84">
        <f>+S11/U4</f>
        <v>0.8571428571428571</v>
      </c>
      <c r="V11" s="93">
        <v>6</v>
      </c>
      <c r="W11" s="72"/>
      <c r="X11" s="84">
        <f>+V11/X4</f>
        <v>0.8571428571428571</v>
      </c>
      <c r="Y11" s="93">
        <v>0</v>
      </c>
      <c r="Z11" s="72"/>
      <c r="AA11" s="84" t="e">
        <f>+Y11/AA4</f>
        <v>#DIV/0!</v>
      </c>
      <c r="AB11" s="32">
        <v>0</v>
      </c>
      <c r="AC11" s="57"/>
      <c r="AD11" s="84" t="e">
        <f>+AB11/AD4</f>
        <v>#DIV/0!</v>
      </c>
      <c r="AE11" s="32">
        <v>0</v>
      </c>
      <c r="AF11" s="57"/>
      <c r="AG11" s="84" t="e">
        <f>+AE11/AG4</f>
        <v>#DIV/0!</v>
      </c>
      <c r="AH11" s="16">
        <v>0</v>
      </c>
      <c r="AI11" s="84"/>
      <c r="AJ11" s="84" t="e">
        <f>+AH11/AJ4</f>
        <v>#DIV/0!</v>
      </c>
      <c r="AK11" s="16">
        <v>0</v>
      </c>
      <c r="AL11" s="16"/>
      <c r="AM11" s="84" t="e">
        <f>+AK11/AM4</f>
        <v>#DIV/0!</v>
      </c>
      <c r="AN11" s="16"/>
      <c r="AO11" s="16"/>
      <c r="AP11" s="96">
        <f>+V11+AB11+AE11+AH11+AK11+Y11+S11+P11+M11+J11+D11+G11</f>
        <v>42</v>
      </c>
      <c r="AQ11" s="57"/>
      <c r="AR11" s="84">
        <f>+AP11/AR4</f>
        <v>6</v>
      </c>
      <c r="AS11" s="28">
        <f>+AP11/AS4</f>
        <v>6</v>
      </c>
      <c r="AT11" s="57"/>
      <c r="AU11" s="84">
        <f>+AS11/AU4</f>
        <v>0.8571428571428571</v>
      </c>
    </row>
    <row r="12" spans="2:47">
      <c r="B12" s="17" t="s">
        <v>14</v>
      </c>
      <c r="C12" s="16"/>
      <c r="D12" s="93">
        <v>242.28100000000001</v>
      </c>
      <c r="E12" s="72"/>
      <c r="F12" s="84">
        <f>+D12/F4</f>
        <v>34.61157142857143</v>
      </c>
      <c r="G12" s="93">
        <f>1071.889*0.234656</f>
        <v>251.52518518399998</v>
      </c>
      <c r="H12" s="72"/>
      <c r="I12" s="84">
        <f>+G12/I4</f>
        <v>35.932169311999999</v>
      </c>
      <c r="J12" s="93">
        <v>265.24155000000002</v>
      </c>
      <c r="K12" s="72"/>
      <c r="L12" s="84">
        <f>+J12/L4</f>
        <v>37.891650000000006</v>
      </c>
      <c r="M12" s="93">
        <v>260.06700000000001</v>
      </c>
      <c r="N12" s="72"/>
      <c r="O12" s="84">
        <f>+M12/O4</f>
        <v>37.152428571428572</v>
      </c>
      <c r="P12" s="93">
        <v>263.86286969999998</v>
      </c>
      <c r="Q12" s="72"/>
      <c r="R12" s="84">
        <f>+P12/R4</f>
        <v>37.694695671428569</v>
      </c>
      <c r="S12" s="93">
        <v>279.363</v>
      </c>
      <c r="T12" s="72"/>
      <c r="U12" s="84">
        <f>+S12/U4</f>
        <v>39.908999999999999</v>
      </c>
      <c r="V12" s="93">
        <v>351.9918399</v>
      </c>
      <c r="W12" s="72"/>
      <c r="X12" s="84">
        <f>+V12/X4</f>
        <v>50.284548557142855</v>
      </c>
      <c r="Y12" s="93">
        <v>0</v>
      </c>
      <c r="Z12" s="72"/>
      <c r="AA12" s="84" t="e">
        <f>+Y12/AA4</f>
        <v>#DIV/0!</v>
      </c>
      <c r="AB12" s="32">
        <v>0</v>
      </c>
      <c r="AC12" s="57"/>
      <c r="AD12" s="84" t="e">
        <f>+AB12/AD4</f>
        <v>#DIV/0!</v>
      </c>
      <c r="AE12" s="32">
        <v>0</v>
      </c>
      <c r="AF12" s="57"/>
      <c r="AG12" s="84" t="e">
        <f>+AE12/AG4</f>
        <v>#DIV/0!</v>
      </c>
      <c r="AH12" s="32">
        <v>0</v>
      </c>
      <c r="AI12" s="57"/>
      <c r="AJ12" s="84" t="e">
        <f>+AH12/AJ4</f>
        <v>#DIV/0!</v>
      </c>
      <c r="AK12" s="32">
        <v>0</v>
      </c>
      <c r="AL12" s="16"/>
      <c r="AM12" s="84" t="e">
        <f>+AK12/AM4</f>
        <v>#DIV/0!</v>
      </c>
      <c r="AN12" s="16"/>
      <c r="AO12" s="16"/>
      <c r="AP12" s="96">
        <f>+V12+AB12+AE12+AH12+AK12+Y12+S12+P12+M12+J12+D12+G12</f>
        <v>1914.332444784</v>
      </c>
      <c r="AQ12" s="57"/>
      <c r="AR12" s="84">
        <f>+AP12/AR4</f>
        <v>273.47606354057143</v>
      </c>
      <c r="AS12" s="14">
        <f t="shared" ref="AS12" si="1">+AP12/$AS$4</f>
        <v>273.47606354057143</v>
      </c>
      <c r="AT12" s="57"/>
      <c r="AU12" s="84">
        <f>+AS12/AU4</f>
        <v>39.068009077224488</v>
      </c>
    </row>
    <row r="13" spans="2:47">
      <c r="B13" s="18" t="s">
        <v>19</v>
      </c>
      <c r="C13" s="16"/>
      <c r="D13" s="35">
        <f>+D12/D5</f>
        <v>0.32055722851714447</v>
      </c>
      <c r="E13" s="72"/>
      <c r="F13" s="33"/>
      <c r="G13" s="35">
        <f>+G12/G5</f>
        <v>0.57302601524574992</v>
      </c>
      <c r="H13" s="72"/>
      <c r="I13" s="33"/>
      <c r="J13" s="35">
        <f>+J12/J5</f>
        <v>260.04073529411767</v>
      </c>
      <c r="K13" s="72"/>
      <c r="L13" s="33"/>
      <c r="M13" s="35">
        <f>+M12/M5</f>
        <v>0.92222624942140785</v>
      </c>
      <c r="N13" s="72"/>
      <c r="O13" s="33"/>
      <c r="P13" s="35">
        <f>+P12/P5</f>
        <v>0.14445788353380892</v>
      </c>
      <c r="Q13" s="72"/>
      <c r="R13" s="33"/>
      <c r="S13" s="35">
        <f>+S12/S5</f>
        <v>0.36724753974659985</v>
      </c>
      <c r="T13" s="72"/>
      <c r="U13" s="33"/>
      <c r="V13" s="35">
        <f>+V12/V5</f>
        <v>0.80095716577467102</v>
      </c>
      <c r="W13" s="72"/>
      <c r="X13" s="33"/>
      <c r="Y13" s="35" t="e">
        <f>+Y12/Y5</f>
        <v>#DIV/0!</v>
      </c>
      <c r="Z13" s="72"/>
      <c r="AA13" s="33"/>
      <c r="AB13" s="33" t="e">
        <f>+AB12/AB5</f>
        <v>#DIV/0!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0.42498183807503809</v>
      </c>
      <c r="AQ13" s="57"/>
      <c r="AR13" s="33"/>
      <c r="AS13" s="35">
        <f>+AS12/AS5</f>
        <v>0.42498183807503809</v>
      </c>
      <c r="AT13" s="57"/>
      <c r="AU13" s="33"/>
    </row>
    <row r="14" spans="2:47">
      <c r="B14" s="18" t="s">
        <v>15</v>
      </c>
      <c r="C14" s="16"/>
      <c r="D14" s="36">
        <f>+D5/D11</f>
        <v>125.96866666666666</v>
      </c>
      <c r="E14" s="72"/>
      <c r="F14" s="8"/>
      <c r="G14" s="36">
        <f>+G5/G11</f>
        <v>73.156999999999996</v>
      </c>
      <c r="H14" s="72"/>
      <c r="I14" s="8"/>
      <c r="J14" s="36">
        <f>+J5/J11</f>
        <v>0.17</v>
      </c>
      <c r="K14" s="72"/>
      <c r="L14" s="8"/>
      <c r="M14" s="36">
        <f>+M5/M11</f>
        <v>46.999854999999997</v>
      </c>
      <c r="N14" s="72"/>
      <c r="O14" s="8"/>
      <c r="P14" s="36">
        <f>+P5/P11</f>
        <v>304.42883333333333</v>
      </c>
      <c r="Q14" s="72"/>
      <c r="R14" s="8"/>
      <c r="S14" s="36">
        <f>+S5/S11</f>
        <v>126.78233333333333</v>
      </c>
      <c r="T14" s="72"/>
      <c r="U14" s="8"/>
      <c r="V14" s="36">
        <f>+V5/V11</f>
        <v>73.244</v>
      </c>
      <c r="W14" s="72"/>
      <c r="X14" s="8"/>
      <c r="Y14" s="36" t="e">
        <f>+Y5/Y11</f>
        <v>#DIV/0!</v>
      </c>
      <c r="Z14" s="72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107.25009833333331</v>
      </c>
      <c r="AQ14" s="57"/>
      <c r="AR14" s="8"/>
      <c r="AS14" s="36">
        <f>+AS5/AS11</f>
        <v>107.25009833333331</v>
      </c>
      <c r="AT14" s="57"/>
      <c r="AU14" s="8"/>
    </row>
    <row r="15" spans="2:47">
      <c r="B15" s="10" t="s">
        <v>33</v>
      </c>
      <c r="C15" s="16"/>
      <c r="D15" s="36">
        <f>+D12/D11</f>
        <v>40.380166666666668</v>
      </c>
      <c r="E15" s="72"/>
      <c r="F15" s="8"/>
      <c r="G15" s="36">
        <f>+G12/G11</f>
        <v>41.92086419733333</v>
      </c>
      <c r="H15" s="72"/>
      <c r="I15" s="8"/>
      <c r="J15" s="36">
        <f>+J12/J11</f>
        <v>44.206925000000005</v>
      </c>
      <c r="K15" s="72"/>
      <c r="L15" s="8"/>
      <c r="M15" s="36">
        <f>+M12/M11</f>
        <v>43.344500000000004</v>
      </c>
      <c r="N15" s="72"/>
      <c r="O15" s="8"/>
      <c r="P15" s="36">
        <f>+P12/P11</f>
        <v>43.977144949999996</v>
      </c>
      <c r="Q15" s="72"/>
      <c r="R15" s="8"/>
      <c r="S15" s="36">
        <f>+S12/S11</f>
        <v>46.560499999999998</v>
      </c>
      <c r="T15" s="72"/>
      <c r="U15" s="8"/>
      <c r="V15" s="36">
        <f>+V12/V11</f>
        <v>58.665306649999998</v>
      </c>
      <c r="W15" s="72"/>
      <c r="X15" s="8"/>
      <c r="Y15" s="36" t="e">
        <f>+Y12/Y11</f>
        <v>#DIV/0!</v>
      </c>
      <c r="Z15" s="72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45.579343923428574</v>
      </c>
      <c r="AQ15" s="57"/>
      <c r="AR15" s="8"/>
      <c r="AS15" s="36">
        <f>+AS12/AS11</f>
        <v>45.579343923428574</v>
      </c>
      <c r="AT15" s="57"/>
      <c r="AU15" s="8"/>
    </row>
    <row r="16" spans="2:47">
      <c r="B16" s="18" t="s">
        <v>20</v>
      </c>
      <c r="C16" s="16"/>
      <c r="D16" s="35">
        <f>+D12/D7</f>
        <v>0.51271756732474671</v>
      </c>
      <c r="E16" s="72"/>
      <c r="F16" s="33"/>
      <c r="G16" s="35">
        <f>+G12/G7</f>
        <v>1.4891748745184112</v>
      </c>
      <c r="H16" s="72"/>
      <c r="I16" s="33"/>
      <c r="J16" s="35">
        <f>+J12/J7</f>
        <v>-1.3061253607402965</v>
      </c>
      <c r="K16" s="72"/>
      <c r="L16" s="33"/>
      <c r="M16" s="35">
        <f>+M12/M7</f>
        <v>8.7814606454674724</v>
      </c>
      <c r="N16" s="72"/>
      <c r="O16" s="33"/>
      <c r="P16" s="35">
        <f>+P12/P7</f>
        <v>0.17927130843261901</v>
      </c>
      <c r="Q16" s="72"/>
      <c r="R16" s="33"/>
      <c r="S16" s="35">
        <f>+S12/S7</f>
        <v>0.5125413311819158</v>
      </c>
      <c r="T16" s="72"/>
      <c r="U16" s="33"/>
      <c r="V16" s="35">
        <f>+V12/V7</f>
        <v>1.5535884892553589</v>
      </c>
      <c r="W16" s="72"/>
      <c r="X16" s="33"/>
      <c r="Y16" s="35" t="e">
        <f>+Y12/Y7</f>
        <v>#DIV/0!</v>
      </c>
      <c r="Z16" s="72"/>
      <c r="AA16" s="33"/>
      <c r="AB16" s="33" t="e">
        <f>+AB12/AB7</f>
        <v>#DIV/0!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0.70601265184181483</v>
      </c>
      <c r="AQ16" s="57"/>
      <c r="AR16" s="33"/>
      <c r="AS16" s="35">
        <f>+AS12/AS7</f>
        <v>0.70601265184181472</v>
      </c>
      <c r="AT16" s="57"/>
      <c r="AU16" s="33"/>
    </row>
    <row r="17" spans="2:47" ht="7.5" customHeight="1">
      <c r="B17" s="7"/>
      <c r="C17" s="16"/>
      <c r="D17" s="93"/>
      <c r="E17" s="72"/>
      <c r="F17" s="57"/>
      <c r="G17" s="93"/>
      <c r="H17" s="72"/>
      <c r="I17" s="57"/>
      <c r="J17" s="93"/>
      <c r="K17" s="72"/>
      <c r="L17" s="57"/>
      <c r="M17" s="93"/>
      <c r="N17" s="72"/>
      <c r="O17" s="57"/>
      <c r="P17" s="93"/>
      <c r="Q17" s="72"/>
      <c r="R17" s="57"/>
      <c r="S17" s="93"/>
      <c r="T17" s="72"/>
      <c r="U17" s="57"/>
      <c r="V17" s="93"/>
      <c r="W17" s="72"/>
      <c r="X17" s="57"/>
      <c r="Y17" s="93"/>
      <c r="Z17" s="72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91">
        <v>38578</v>
      </c>
      <c r="E18" s="58">
        <v>38578</v>
      </c>
      <c r="F18" s="67">
        <f>+D18/F4</f>
        <v>5511.1428571428569</v>
      </c>
      <c r="G18" s="91">
        <v>36013</v>
      </c>
      <c r="H18" s="58">
        <v>36013</v>
      </c>
      <c r="I18" s="67">
        <f>+G18/I4</f>
        <v>5144.7142857142853</v>
      </c>
      <c r="J18" s="91">
        <v>41306</v>
      </c>
      <c r="K18" s="58">
        <v>41306</v>
      </c>
      <c r="L18" s="67">
        <f>+J18/L4</f>
        <v>5900.8571428571431</v>
      </c>
      <c r="M18" s="91">
        <v>38862.58</v>
      </c>
      <c r="N18" s="91">
        <v>38862.58</v>
      </c>
      <c r="O18" s="67">
        <f>+M18/O4</f>
        <v>5551.7971428571427</v>
      </c>
      <c r="P18" s="91">
        <v>39963.395069999999</v>
      </c>
      <c r="Q18" s="91">
        <v>39963.395069999999</v>
      </c>
      <c r="R18" s="67">
        <f>+P18/R4</f>
        <v>5709.0564385714288</v>
      </c>
      <c r="S18" s="91">
        <v>38488.271800000002</v>
      </c>
      <c r="T18" s="91">
        <v>38488.271800000002</v>
      </c>
      <c r="U18" s="67">
        <f>+S18/U4</f>
        <v>5498.3245428571436</v>
      </c>
      <c r="V18" s="91">
        <v>42743.274740000001</v>
      </c>
      <c r="W18" s="91">
        <v>42743.274740000001</v>
      </c>
      <c r="X18" s="67">
        <f>+V18/X4</f>
        <v>6106.1821057142861</v>
      </c>
      <c r="Y18" s="91">
        <v>0</v>
      </c>
      <c r="Z18" s="58">
        <v>0</v>
      </c>
      <c r="AA18" s="67" t="e">
        <f>+Y18/AA4</f>
        <v>#DIV/0!</v>
      </c>
      <c r="AB18" s="11">
        <v>0</v>
      </c>
      <c r="AC18" s="58">
        <v>0</v>
      </c>
      <c r="AD18" s="67" t="e">
        <f>+AB18/AD4</f>
        <v>#DIV/0!</v>
      </c>
      <c r="AE18" s="11">
        <v>0</v>
      </c>
      <c r="AF18" s="58">
        <v>0</v>
      </c>
      <c r="AG18" s="67" t="e">
        <f>+AE18/AG4</f>
        <v>#DIV/0!</v>
      </c>
      <c r="AH18" s="11">
        <v>0</v>
      </c>
      <c r="AI18" s="58">
        <v>0</v>
      </c>
      <c r="AJ18" s="67" t="e">
        <f>+AH18/AJ4</f>
        <v>#DIV/0!</v>
      </c>
      <c r="AK18" s="11">
        <v>0</v>
      </c>
      <c r="AL18" s="58">
        <v>0</v>
      </c>
      <c r="AM18" s="67" t="e">
        <f>+AK18/AM4</f>
        <v>#DIV/0!</v>
      </c>
      <c r="AN18" s="16"/>
      <c r="AO18" s="16"/>
      <c r="AP18" s="96">
        <f>+V18+AB18+AE18+AH18+AK18+Y18+S18+P18+M18+J18+D18+G18</f>
        <v>275954.52161</v>
      </c>
      <c r="AQ18" s="67">
        <f>+W18+AC18+AF18+AI18+AL18+Z18+T18+Q18+N18+K18+H18+E18</f>
        <v>275954.52161</v>
      </c>
      <c r="AR18" s="67">
        <f>+AP18/AR4</f>
        <v>39422.074515714288</v>
      </c>
      <c r="AS18" s="14">
        <f t="shared" ref="AS18:AT20" si="2">+AP18/$AS$4</f>
        <v>39422.074515714288</v>
      </c>
      <c r="AT18" s="67">
        <f t="shared" si="2"/>
        <v>39422.074515714288</v>
      </c>
      <c r="AU18" s="67">
        <f>+AS18/AU4</f>
        <v>5631.7249308163273</v>
      </c>
    </row>
    <row r="19" spans="2:47">
      <c r="B19" s="17" t="s">
        <v>32</v>
      </c>
      <c r="C19" s="16"/>
      <c r="D19" s="91">
        <v>3537.44</v>
      </c>
      <c r="E19" s="58">
        <v>3537.44</v>
      </c>
      <c r="F19" s="67">
        <f>+D19/F4</f>
        <v>505.34857142857146</v>
      </c>
      <c r="G19" s="91">
        <v>3557.422</v>
      </c>
      <c r="H19" s="58">
        <v>3557.422</v>
      </c>
      <c r="I19" s="67">
        <f>+G19/I4</f>
        <v>508.20314285714284</v>
      </c>
      <c r="J19" s="91">
        <v>3939.11</v>
      </c>
      <c r="K19" s="58">
        <v>3939.11</v>
      </c>
      <c r="L19" s="67">
        <f>+J19/L4</f>
        <v>562.73</v>
      </c>
      <c r="M19" s="91">
        <v>3494.2732000000001</v>
      </c>
      <c r="N19" s="91">
        <v>3494.2732000000001</v>
      </c>
      <c r="O19" s="67">
        <f>+M19/O4</f>
        <v>499.18188571428573</v>
      </c>
      <c r="P19" s="91">
        <v>3830.22514</v>
      </c>
      <c r="Q19" s="91">
        <v>3830.22514</v>
      </c>
      <c r="R19" s="67">
        <f>+P19/R4</f>
        <v>547.17502000000002</v>
      </c>
      <c r="S19" s="91">
        <v>3562.5659999999998</v>
      </c>
      <c r="T19" s="91">
        <v>3562.5659999999998</v>
      </c>
      <c r="U19" s="67">
        <f>+S19/U4</f>
        <v>508.93799999999999</v>
      </c>
      <c r="V19" s="91">
        <v>3656.9065999999998</v>
      </c>
      <c r="W19" s="91">
        <v>3656.9065999999998</v>
      </c>
      <c r="X19" s="67">
        <f>+V19/X4</f>
        <v>522.41522857142854</v>
      </c>
      <c r="Y19" s="91">
        <v>0</v>
      </c>
      <c r="Z19" s="58">
        <v>0</v>
      </c>
      <c r="AA19" s="67" t="e">
        <f>+Y19/AA4</f>
        <v>#DIV/0!</v>
      </c>
      <c r="AB19" s="11">
        <v>0</v>
      </c>
      <c r="AC19" s="58">
        <v>0</v>
      </c>
      <c r="AD19" s="67" t="e">
        <f>+AB19/AD4</f>
        <v>#DIV/0!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6">
        <f>+V19+AB19+AE19+AH19+AK19+Y19+S19+P19+M19+J19+D19+G19</f>
        <v>25577.942939999997</v>
      </c>
      <c r="AQ19" s="67">
        <f>+W19+AC19+AF19+AI19+AL19+Z19+T19+Q19+N19+K19+H19+E19</f>
        <v>25577.942939999997</v>
      </c>
      <c r="AR19" s="67">
        <f>+AP19/AR4</f>
        <v>3653.9918485714284</v>
      </c>
      <c r="AS19" s="14">
        <f t="shared" si="2"/>
        <v>3653.9918485714284</v>
      </c>
      <c r="AT19" s="67">
        <f t="shared" si="2"/>
        <v>3653.9918485714284</v>
      </c>
      <c r="AU19" s="67">
        <f>+AS19/AU4</f>
        <v>521.998835510204</v>
      </c>
    </row>
    <row r="20" spans="2:47">
      <c r="B20" s="17" t="s">
        <v>27</v>
      </c>
      <c r="C20" s="16"/>
      <c r="D20" s="91">
        <v>127.694</v>
      </c>
      <c r="E20" s="59">
        <v>130.80000000000001</v>
      </c>
      <c r="F20" s="67">
        <f>+D20/F4</f>
        <v>18.242000000000001</v>
      </c>
      <c r="G20" s="91">
        <v>132.5993799</v>
      </c>
      <c r="H20" s="59">
        <v>132.5993799</v>
      </c>
      <c r="I20" s="67">
        <f>+G20/I4</f>
        <v>18.942768557142859</v>
      </c>
      <c r="J20" s="91">
        <v>144.39164199999999</v>
      </c>
      <c r="K20" s="59">
        <v>144.39162999999999</v>
      </c>
      <c r="L20" s="67">
        <f>+J20/L4</f>
        <v>20.627377428571428</v>
      </c>
      <c r="M20" s="91">
        <v>126.76693880000001</v>
      </c>
      <c r="N20" s="59">
        <v>126.7669226</v>
      </c>
      <c r="O20" s="67">
        <f>+M20/O4</f>
        <v>18.109562685714288</v>
      </c>
      <c r="P20" s="91">
        <v>139.72442000000001</v>
      </c>
      <c r="Q20" s="59">
        <v>139.72444089999999</v>
      </c>
      <c r="R20" s="67">
        <f>+P20/R4</f>
        <v>19.960631428571428</v>
      </c>
      <c r="S20" s="91">
        <v>131.6156805</v>
      </c>
      <c r="T20" s="59">
        <v>131.61565999999999</v>
      </c>
      <c r="U20" s="67">
        <f>+S20/U4</f>
        <v>18.802240071428571</v>
      </c>
      <c r="V20" s="91">
        <v>133.8187069</v>
      </c>
      <c r="W20" s="59">
        <v>133.8187715</v>
      </c>
      <c r="X20" s="67">
        <f>+V20/X4</f>
        <v>19.116958128571429</v>
      </c>
      <c r="Y20" s="9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11">
        <v>0</v>
      </c>
      <c r="AG20" s="67" t="e">
        <f>+AE20/AG4</f>
        <v>#DIV/0!</v>
      </c>
      <c r="AH20" s="11">
        <v>0</v>
      </c>
      <c r="AI20" s="11">
        <v>0</v>
      </c>
      <c r="AJ20" s="67" t="e">
        <f>+AH20/AJ4</f>
        <v>#DIV/0!</v>
      </c>
      <c r="AK20" s="11">
        <v>0</v>
      </c>
      <c r="AL20" s="88">
        <v>0</v>
      </c>
      <c r="AM20" s="67" t="e">
        <f>+AK20/AM4</f>
        <v>#DIV/0!</v>
      </c>
      <c r="AN20" s="16"/>
      <c r="AO20" s="16"/>
      <c r="AP20" s="96">
        <f>+V20+AB20+AE20+AH20+AK20+Y20+S20+P20+M20+J20+D20+G20</f>
        <v>936.61076810000009</v>
      </c>
      <c r="AQ20" s="67">
        <f>+W20+AC20+AF20+AI20+AL20+Z20+T20+Q20+N20+K20+H20+E20</f>
        <v>939.71680489999994</v>
      </c>
      <c r="AR20" s="67">
        <f>+AP20/AR4</f>
        <v>133.8015383</v>
      </c>
      <c r="AS20" s="14">
        <f t="shared" si="2"/>
        <v>133.8015383</v>
      </c>
      <c r="AT20" s="67">
        <f t="shared" si="2"/>
        <v>134.24525784285714</v>
      </c>
      <c r="AU20" s="67">
        <f>+AS20/AU4</f>
        <v>19.114505471428572</v>
      </c>
    </row>
    <row r="21" spans="2:47">
      <c r="B21" s="18" t="s">
        <v>18</v>
      </c>
      <c r="C21" s="16"/>
      <c r="D21" s="45">
        <f t="shared" ref="D21:E21" si="3">+D20/D19*1000</f>
        <v>36.097856076710841</v>
      </c>
      <c r="E21" s="68">
        <f t="shared" si="3"/>
        <v>36.975892170609256</v>
      </c>
      <c r="F21" s="60"/>
      <c r="G21" s="45">
        <f t="shared" ref="G21:H21" si="4">+G20/G19*1000</f>
        <v>37.274009071737908</v>
      </c>
      <c r="H21" s="68">
        <f t="shared" si="4"/>
        <v>37.274009071737908</v>
      </c>
      <c r="I21" s="60"/>
      <c r="J21" s="45">
        <f t="shared" ref="J21:K21" si="5">+J20/J19*1000</f>
        <v>36.655905014076779</v>
      </c>
      <c r="K21" s="68">
        <f t="shared" si="5"/>
        <v>36.655901967703358</v>
      </c>
      <c r="L21" s="60"/>
      <c r="M21" s="45">
        <f t="shared" ref="M21:N21" si="6">+M20/M19*1000</f>
        <v>36.278485265548213</v>
      </c>
      <c r="N21" s="68">
        <f t="shared" si="6"/>
        <v>36.27848062939097</v>
      </c>
      <c r="O21" s="60"/>
      <c r="P21" s="45">
        <f t="shared" ref="P21:Q21" si="7">+P20/P19*1000</f>
        <v>36.479427420812137</v>
      </c>
      <c r="Q21" s="68">
        <f t="shared" si="7"/>
        <v>36.479432877410439</v>
      </c>
      <c r="R21" s="60"/>
      <c r="S21" s="45">
        <f t="shared" ref="S21:T21" si="8">+S20/S19*1000</f>
        <v>36.94406798358262</v>
      </c>
      <c r="T21" s="68">
        <f t="shared" si="8"/>
        <v>36.944062229303263</v>
      </c>
      <c r="U21" s="60"/>
      <c r="V21" s="45">
        <f t="shared" ref="V21:W21" si="9">+V20/V19*1000</f>
        <v>36.593416659862193</v>
      </c>
      <c r="W21" s="68">
        <f t="shared" si="9"/>
        <v>36.593434325065893</v>
      </c>
      <c r="X21" s="60"/>
      <c r="Y21" s="45" t="e">
        <f t="shared" ref="Y21:AC21" si="10">+Y20/Y19*1000</f>
        <v>#DIV/0!</v>
      </c>
      <c r="Z21" s="68" t="e">
        <f t="shared" si="10"/>
        <v>#DIV/0!</v>
      </c>
      <c r="AA21" s="60"/>
      <c r="AB21" s="44" t="e">
        <f t="shared" si="10"/>
        <v>#DIV/0!</v>
      </c>
      <c r="AC21" s="60" t="e">
        <f t="shared" si="10"/>
        <v>#DIV/0!</v>
      </c>
      <c r="AD21" s="60"/>
      <c r="AE21" s="44" t="e">
        <f t="shared" ref="AE21:AF21" si="11">+AE20/AE19*1000</f>
        <v>#DIV/0!</v>
      </c>
      <c r="AF21" s="60" t="e">
        <f t="shared" si="11"/>
        <v>#DIV/0!</v>
      </c>
      <c r="AG21" s="60"/>
      <c r="AH21" s="44" t="e">
        <f t="shared" ref="AH21:AI21" si="12">+AH20/AH19*1000</f>
        <v>#DIV/0!</v>
      </c>
      <c r="AI21" s="60" t="e">
        <f t="shared" si="12"/>
        <v>#DIV/0!</v>
      </c>
      <c r="AJ21" s="60"/>
      <c r="AK21" s="44" t="e">
        <f t="shared" ref="AK21:AL21" si="13">+AK20/AK19*1000</f>
        <v>#DIV/0!</v>
      </c>
      <c r="AL21" s="60" t="e">
        <f t="shared" si="13"/>
        <v>#DIV/0!</v>
      </c>
      <c r="AM21" s="16"/>
      <c r="AN21" s="16"/>
      <c r="AO21" s="16"/>
      <c r="AP21" s="45">
        <f>+AP20/AP19*1000</f>
        <v>36.617908261703249</v>
      </c>
      <c r="AQ21" s="68">
        <f>+AQ20/AQ19*1000</f>
        <v>36.739342452376277</v>
      </c>
      <c r="AR21" s="60"/>
      <c r="AS21" s="45">
        <f>+AS20/AS19*1000</f>
        <v>36.617908261703242</v>
      </c>
      <c r="AT21" s="68">
        <f>+AT20/AT19*1000</f>
        <v>36.739342452376277</v>
      </c>
      <c r="AU21" s="60"/>
    </row>
    <row r="22" spans="2:47">
      <c r="B22" s="18" t="s">
        <v>21</v>
      </c>
      <c r="C22" s="16"/>
      <c r="D22" s="94">
        <f>+D19/D18</f>
        <v>9.1695785162527868E-2</v>
      </c>
      <c r="E22" s="46">
        <f>+E19/E18</f>
        <v>9.1695785162527868E-2</v>
      </c>
      <c r="F22" s="61"/>
      <c r="G22" s="94">
        <f>+G19/G18</f>
        <v>9.8781606642045924E-2</v>
      </c>
      <c r="H22" s="46">
        <f>+H19/H18</f>
        <v>9.8781606642045924E-2</v>
      </c>
      <c r="I22" s="61"/>
      <c r="J22" s="94">
        <f>+J19/J18</f>
        <v>9.5364111751319425E-2</v>
      </c>
      <c r="K22" s="46">
        <f>+K19/K18</f>
        <v>9.5364111751319425E-2</v>
      </c>
      <c r="L22" s="61"/>
      <c r="M22" s="94">
        <f>+M19/M18</f>
        <v>8.9913567241289696E-2</v>
      </c>
      <c r="N22" s="46">
        <f>+N19/N18</f>
        <v>8.9913567241289696E-2</v>
      </c>
      <c r="O22" s="61"/>
      <c r="P22" s="94">
        <f>+P19/P18</f>
        <v>9.5843336966015186E-2</v>
      </c>
      <c r="Q22" s="46">
        <f>+Q19/Q18</f>
        <v>9.5843336966015186E-2</v>
      </c>
      <c r="R22" s="61"/>
      <c r="S22" s="94">
        <f>+S19/S18</f>
        <v>9.256237896345347E-2</v>
      </c>
      <c r="T22" s="46">
        <f>+T19/T18</f>
        <v>9.256237896345347E-2</v>
      </c>
      <c r="U22" s="61"/>
      <c r="V22" s="94">
        <f>+V19/V18</f>
        <v>8.5555134047270234E-2</v>
      </c>
      <c r="W22" s="46">
        <f>+W19/W18</f>
        <v>8.5555134047270234E-2</v>
      </c>
      <c r="X22" s="61"/>
      <c r="Y22" s="94" t="e">
        <f>+Y19/Y18</f>
        <v>#DIV/0!</v>
      </c>
      <c r="Z22" s="46" t="e">
        <f>+Z19/Z18</f>
        <v>#DIV/0!</v>
      </c>
      <c r="AA22" s="61"/>
      <c r="AB22" s="46" t="e">
        <f>+AB19/AB18</f>
        <v>#DIV/0!</v>
      </c>
      <c r="AC22" s="46" t="e">
        <f>+AC19/AC18</f>
        <v>#DIV/0!</v>
      </c>
      <c r="AD22" s="61"/>
      <c r="AE22" s="46" t="e">
        <f>+AE19/AE18</f>
        <v>#DIV/0!</v>
      </c>
      <c r="AF22" s="46" t="e">
        <f>+AF19/AF18</f>
        <v>#DIV/0!</v>
      </c>
      <c r="AG22" s="61"/>
      <c r="AH22" s="46" t="e">
        <f>+AH19/AH18</f>
        <v>#DIV/0!</v>
      </c>
      <c r="AI22" s="46" t="e">
        <f>+AI19/AI18</f>
        <v>#DIV/0!</v>
      </c>
      <c r="AJ22" s="61"/>
      <c r="AK22" s="46" t="e">
        <f>+AK19/AK18</f>
        <v>#DIV/0!</v>
      </c>
      <c r="AL22" s="46" t="e">
        <f>+AL19/AL18</f>
        <v>#DIV/0!</v>
      </c>
      <c r="AM22" s="16"/>
      <c r="AN22" s="16"/>
      <c r="AO22" s="16"/>
      <c r="AP22" s="47">
        <f>+AP19/AP18</f>
        <v>9.2688979295467752E-2</v>
      </c>
      <c r="AQ22" s="46">
        <f>+AQ19/AQ18</f>
        <v>9.2688979295467752E-2</v>
      </c>
      <c r="AR22" s="61"/>
      <c r="AS22" s="47">
        <f>+AS19/AS18</f>
        <v>9.2688979295467752E-2</v>
      </c>
      <c r="AT22" s="46">
        <f>+AT19/AT18</f>
        <v>9.2688979295467752E-2</v>
      </c>
      <c r="AU22" s="61"/>
    </row>
    <row r="23" spans="2:47">
      <c r="B23" s="10" t="s">
        <v>28</v>
      </c>
      <c r="C23" s="10"/>
      <c r="D23" s="49">
        <f>+D20*1000/(D18*D21)*100</f>
        <v>9.1695785162527876</v>
      </c>
      <c r="E23" s="48">
        <f>+E20*1000/(E18*E21)*100</f>
        <v>9.1695785162527876</v>
      </c>
      <c r="F23" s="62"/>
      <c r="G23" s="49">
        <f>+G20*1000/(G18*G21)*100</f>
        <v>9.8781606642045912</v>
      </c>
      <c r="H23" s="48">
        <f>+H20*1000/(H18*H21)*100</f>
        <v>9.8781606642045912</v>
      </c>
      <c r="I23" s="62"/>
      <c r="J23" s="49">
        <f>+J20*1000/(J18*J21)*100</f>
        <v>9.536411175131942</v>
      </c>
      <c r="K23" s="48">
        <f>+K20*1000/(K18*K21)*100</f>
        <v>9.5364111751319438</v>
      </c>
      <c r="L23" s="62"/>
      <c r="M23" s="49">
        <f>+M20*1000/(M18*M21)*100</f>
        <v>8.9913567241289698</v>
      </c>
      <c r="N23" s="48">
        <f>+N20*1000/(N18*N21)*100</f>
        <v>8.9913567241289698</v>
      </c>
      <c r="O23" s="62"/>
      <c r="P23" s="49">
        <f>+P20*1000/(P18*P21)*100</f>
        <v>9.5843336966015205</v>
      </c>
      <c r="Q23" s="48">
        <f>+Q20*1000/(Q18*Q21)*100</f>
        <v>9.5843336966015187</v>
      </c>
      <c r="R23" s="62"/>
      <c r="S23" s="49">
        <f>+S20*1000/(S18*S21)*100</f>
        <v>9.2562378963453469</v>
      </c>
      <c r="T23" s="48">
        <f>+T20*1000/(T18*T21)*100</f>
        <v>9.2562378963453469</v>
      </c>
      <c r="U23" s="62"/>
      <c r="V23" s="49">
        <f>+V20*1000/(V18*V21)*100</f>
        <v>8.5555134047270229</v>
      </c>
      <c r="W23" s="48">
        <f>+W20*1000/(W18*W21)*100</f>
        <v>8.5555134047270229</v>
      </c>
      <c r="X23" s="62"/>
      <c r="Y23" s="49" t="e">
        <f>+Y20*1000/(Y18*Y21)*100</f>
        <v>#DIV/0!</v>
      </c>
      <c r="Z23" s="48" t="e">
        <f>+Z20*1000/(Z18*Z21)*100</f>
        <v>#DIV/0!</v>
      </c>
      <c r="AA23" s="62"/>
      <c r="AB23" s="48" t="e">
        <f>+AB20*1000/(AB18*AB21)*100</f>
        <v>#DIV/0!</v>
      </c>
      <c r="AC23" s="48" t="e">
        <f>+AC20*1000/(AC18*AC21)*100</f>
        <v>#DIV/0!</v>
      </c>
      <c r="AD23" s="62"/>
      <c r="AE23" s="48" t="e">
        <f>+AE20*1000/(AE18*AE21)*100</f>
        <v>#DIV/0!</v>
      </c>
      <c r="AF23" s="48" t="e">
        <f>+AF20*1000/(AF18*AF21)*100</f>
        <v>#DIV/0!</v>
      </c>
      <c r="AG23" s="62"/>
      <c r="AH23" s="48" t="e">
        <f>+AH20*1000/(AH18*AH21)*100</f>
        <v>#DIV/0!</v>
      </c>
      <c r="AI23" s="48" t="e">
        <f>+AI20*1000/(AI18*AI21)*100</f>
        <v>#DIV/0!</v>
      </c>
      <c r="AJ23" s="62"/>
      <c r="AK23" s="48" t="e">
        <f>+AK20*1000/(AK18*AK21)*100</f>
        <v>#DIV/0!</v>
      </c>
      <c r="AL23" s="48" t="e">
        <f>+AL20*1000/(AL18*AL21)*100</f>
        <v>#DIV/0!</v>
      </c>
      <c r="AM23" s="16"/>
      <c r="AN23" s="16"/>
      <c r="AO23" s="16"/>
      <c r="AP23" s="49">
        <f>+AP20/(AP18*AP21)*1000*100</f>
        <v>9.2688979295467746</v>
      </c>
      <c r="AQ23" s="48">
        <f>+AQ20*1000/(AQ18*AQ21)*100</f>
        <v>9.2688979295467746</v>
      </c>
      <c r="AR23" s="62"/>
      <c r="AS23" s="49">
        <f>+AS20/(AS18*AS21)*1000*100</f>
        <v>9.2688979295467746</v>
      </c>
      <c r="AT23" s="48">
        <f>+AT20*1000/(AT18*AT21)*100</f>
        <v>9.2688979295467746</v>
      </c>
      <c r="AU23" s="62"/>
    </row>
    <row r="24" spans="2:47">
      <c r="B24" s="18" t="s">
        <v>38</v>
      </c>
      <c r="C24" s="10"/>
      <c r="D24" s="49">
        <f>+D20/D18*1000</f>
        <v>3.3100212556379285</v>
      </c>
      <c r="E24" s="48">
        <f>+E20/E18*1000</f>
        <v>3.3905334646689829</v>
      </c>
      <c r="F24" s="62"/>
      <c r="G24" s="49">
        <f>+G20/G18*1000</f>
        <v>3.6819865020964651</v>
      </c>
      <c r="H24" s="48">
        <f>+H20/H18*1000</f>
        <v>3.6819865020964651</v>
      </c>
      <c r="I24" s="62"/>
      <c r="J24" s="49">
        <f>+J20/J18*1000</f>
        <v>3.4956578221081682</v>
      </c>
      <c r="K24" s="48">
        <f>+K20/K18*1000</f>
        <v>3.4956575315934728</v>
      </c>
      <c r="L24" s="62"/>
      <c r="M24" s="49">
        <f>+M20/M18*1000</f>
        <v>3.2619280243360067</v>
      </c>
      <c r="N24" s="48">
        <f>+N20/N18*1000</f>
        <v>3.2619276074825709</v>
      </c>
      <c r="O24" s="62"/>
      <c r="P24" s="49">
        <f>+P20/P18*1000</f>
        <v>3.4963100546201917</v>
      </c>
      <c r="Q24" s="48">
        <f>+Q20/Q18*1000</f>
        <v>3.4963105775987815</v>
      </c>
      <c r="R24" s="62"/>
      <c r="S24" s="49">
        <f>+S20/S18*1000</f>
        <v>3.4196308211479627</v>
      </c>
      <c r="T24" s="48">
        <f>+T20/T18*1000</f>
        <v>3.4196302885181762</v>
      </c>
      <c r="U24" s="62"/>
      <c r="V24" s="49">
        <f>+V20/V18*1000</f>
        <v>3.1307546675821216</v>
      </c>
      <c r="W24" s="48">
        <f>+W20/W18*1000</f>
        <v>3.1307561789309921</v>
      </c>
      <c r="X24" s="62"/>
      <c r="Y24" s="49" t="e">
        <f>+Y20/Y18*1000</f>
        <v>#DIV/0!</v>
      </c>
      <c r="Z24" s="48" t="e">
        <f>+Z20/Z18*1000</f>
        <v>#DIV/0!</v>
      </c>
      <c r="AA24" s="62"/>
      <c r="AB24" s="48" t="e">
        <f>+AB20/AB18*1000</f>
        <v>#DIV/0!</v>
      </c>
      <c r="AC24" s="48" t="e">
        <f>+AC20/AC18*1000</f>
        <v>#DIV/0!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3.3940765407123497</v>
      </c>
      <c r="AQ24" s="48">
        <f>+AQ20/AQ18*1000</f>
        <v>3.405332151897404</v>
      </c>
      <c r="AR24" s="62"/>
      <c r="AS24" s="48">
        <f t="shared" ref="AS24:AT24" si="14">+AS20/AS18*1000</f>
        <v>3.3940765407123492</v>
      </c>
      <c r="AT24" s="48">
        <f t="shared" si="14"/>
        <v>3.405332151897404</v>
      </c>
      <c r="AU24" s="62"/>
    </row>
    <row r="25" spans="2:47" ht="7.5" customHeight="1">
      <c r="B25" s="16"/>
      <c r="D25" s="95"/>
      <c r="E25" s="73"/>
      <c r="F25" s="63"/>
      <c r="G25" s="95"/>
      <c r="H25" s="73"/>
      <c r="I25" s="63"/>
      <c r="J25" s="95"/>
      <c r="K25" s="73"/>
      <c r="L25" s="63"/>
      <c r="M25" s="95"/>
      <c r="N25" s="73"/>
      <c r="O25" s="63"/>
      <c r="P25" s="95"/>
      <c r="Q25" s="73"/>
      <c r="R25" s="63"/>
      <c r="S25" s="95"/>
      <c r="T25" s="73"/>
      <c r="U25" s="63"/>
      <c r="V25" s="95"/>
      <c r="W25" s="73"/>
      <c r="X25" s="63"/>
      <c r="Y25" s="95"/>
      <c r="Z25" s="73"/>
      <c r="AA25" s="63"/>
      <c r="AC25" s="63"/>
      <c r="AD25" s="63"/>
      <c r="AF25" s="63"/>
      <c r="AG25" s="63"/>
      <c r="AI25" s="63"/>
      <c r="AJ25" s="63"/>
      <c r="AQ25" s="63"/>
      <c r="AR25" s="63"/>
      <c r="AT25" s="63"/>
      <c r="AU25" s="63"/>
    </row>
    <row r="26" spans="2:47">
      <c r="B26" s="20" t="s">
        <v>35</v>
      </c>
      <c r="C26" s="19"/>
      <c r="D26" s="31">
        <f>+D8/(1-D6/D5)</f>
        <v>707.66656286739396</v>
      </c>
      <c r="E26" s="73"/>
      <c r="F26" s="63"/>
      <c r="G26" s="31">
        <f>+G8/(1-G6/G5)</f>
        <v>1139.2565483100834</v>
      </c>
      <c r="H26" s="73"/>
      <c r="I26" s="63"/>
      <c r="J26" s="31">
        <f>+J8/(1-J6/J5)</f>
        <v>-2.2994157246716043</v>
      </c>
      <c r="K26" s="73"/>
      <c r="L26" s="63"/>
      <c r="M26" s="31">
        <f>+M8/(1-M6/M5)</f>
        <v>3402.7116381547462</v>
      </c>
      <c r="N26" s="73"/>
      <c r="O26" s="63"/>
      <c r="P26" s="31">
        <f>+P8/(1-P6/P5)</f>
        <v>355.87968391085263</v>
      </c>
      <c r="Q26" s="73"/>
      <c r="R26" s="63"/>
      <c r="S26" s="31">
        <f>+S8/(1-S6/S5)</f>
        <v>511.06307427870809</v>
      </c>
      <c r="T26" s="73"/>
      <c r="U26" s="63"/>
      <c r="V26" s="31">
        <f>+V8/(1-V6/V5)</f>
        <v>885.94249915610897</v>
      </c>
      <c r="W26" s="73"/>
      <c r="X26" s="63"/>
      <c r="Y26" s="31" t="e">
        <f>+Y8/(1-Y6/Y5)</f>
        <v>#DIV/0!</v>
      </c>
      <c r="Z26" s="73"/>
      <c r="AA26" s="63"/>
      <c r="AB26" s="21" t="e">
        <f>+AB8/(1-AB6/AB5)</f>
        <v>#DIV/0!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4661.0115879298328</v>
      </c>
      <c r="AQ26" s="69"/>
      <c r="AR26" s="63"/>
      <c r="AS26" s="31">
        <f>+AS8/(1-AS6/AS5)</f>
        <v>665.85879827569033</v>
      </c>
      <c r="AT26" s="69"/>
      <c r="AU26" s="63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5748031496062992" right="0.15748031496062992" top="0.59055118110236227" bottom="0.78740157480314965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tabSelected="1"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Q18" sqref="Q18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" t="s">
        <v>2</v>
      </c>
      <c r="E2" s="70" t="s">
        <v>23</v>
      </c>
      <c r="F2" s="52" t="s">
        <v>36</v>
      </c>
      <c r="G2" s="3" t="s">
        <v>2</v>
      </c>
      <c r="H2" s="70" t="s">
        <v>23</v>
      </c>
      <c r="I2" s="52" t="s">
        <v>36</v>
      </c>
      <c r="J2" s="3" t="s">
        <v>2</v>
      </c>
      <c r="K2" s="70" t="s">
        <v>23</v>
      </c>
      <c r="L2" s="52" t="s">
        <v>36</v>
      </c>
      <c r="M2" s="3" t="s">
        <v>2</v>
      </c>
      <c r="N2" s="70" t="s">
        <v>23</v>
      </c>
      <c r="O2" s="52" t="s">
        <v>36</v>
      </c>
      <c r="P2" s="3" t="s">
        <v>2</v>
      </c>
      <c r="Q2" s="70" t="s">
        <v>23</v>
      </c>
      <c r="R2" s="52" t="s">
        <v>36</v>
      </c>
      <c r="S2" s="3" t="s">
        <v>2</v>
      </c>
      <c r="T2" s="70" t="s">
        <v>23</v>
      </c>
      <c r="U2" s="52" t="s">
        <v>36</v>
      </c>
      <c r="V2" s="3" t="s">
        <v>2</v>
      </c>
      <c r="W2" s="70" t="s">
        <v>23</v>
      </c>
      <c r="X2" s="52" t="s">
        <v>36</v>
      </c>
      <c r="Y2" s="3" t="s">
        <v>2</v>
      </c>
      <c r="Z2" s="70" t="s">
        <v>23</v>
      </c>
      <c r="AA2" s="52" t="s">
        <v>36</v>
      </c>
      <c r="AB2" s="3" t="s">
        <v>2</v>
      </c>
      <c r="AC2" s="70" t="s">
        <v>23</v>
      </c>
      <c r="AD2" s="52" t="s">
        <v>36</v>
      </c>
      <c r="AE2" s="3" t="s">
        <v>2</v>
      </c>
      <c r="AF2" s="70" t="s">
        <v>23</v>
      </c>
      <c r="AG2" s="52" t="s">
        <v>36</v>
      </c>
      <c r="AH2" s="3" t="s">
        <v>2</v>
      </c>
      <c r="AI2" s="70" t="s">
        <v>23</v>
      </c>
      <c r="AJ2" s="52" t="s">
        <v>36</v>
      </c>
      <c r="AK2" s="3" t="s">
        <v>2</v>
      </c>
      <c r="AL2" s="70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52" t="s">
        <v>12</v>
      </c>
      <c r="AT2" s="50"/>
      <c r="AU2" s="52" t="s">
        <v>36</v>
      </c>
    </row>
    <row r="3" spans="2:47">
      <c r="B3" s="42" t="s">
        <v>1</v>
      </c>
      <c r="C3" s="50"/>
      <c r="D3" s="4" t="s">
        <v>53</v>
      </c>
      <c r="E3" s="71" t="s">
        <v>24</v>
      </c>
      <c r="F3" s="3" t="s">
        <v>37</v>
      </c>
      <c r="G3" s="4" t="s">
        <v>52</v>
      </c>
      <c r="H3" s="71" t="s">
        <v>24</v>
      </c>
      <c r="I3" s="3" t="s">
        <v>37</v>
      </c>
      <c r="J3" s="4" t="s">
        <v>51</v>
      </c>
      <c r="K3" s="71" t="s">
        <v>24</v>
      </c>
      <c r="L3" s="3" t="s">
        <v>37</v>
      </c>
      <c r="M3" s="4" t="s">
        <v>50</v>
      </c>
      <c r="N3" s="71" t="s">
        <v>24</v>
      </c>
      <c r="O3" s="3" t="s">
        <v>37</v>
      </c>
      <c r="P3" s="4" t="s">
        <v>49</v>
      </c>
      <c r="Q3" s="71" t="s">
        <v>24</v>
      </c>
      <c r="R3" s="3" t="s">
        <v>37</v>
      </c>
      <c r="S3" s="4" t="s">
        <v>48</v>
      </c>
      <c r="T3" s="71" t="s">
        <v>24</v>
      </c>
      <c r="U3" s="3" t="s">
        <v>37</v>
      </c>
      <c r="V3" s="4" t="s">
        <v>42</v>
      </c>
      <c r="W3" s="71" t="s">
        <v>24</v>
      </c>
      <c r="X3" s="3" t="s">
        <v>37</v>
      </c>
      <c r="Y3" s="4" t="s">
        <v>43</v>
      </c>
      <c r="Z3" s="71" t="s">
        <v>24</v>
      </c>
      <c r="AA3" s="3" t="s">
        <v>37</v>
      </c>
      <c r="AB3" s="4" t="s">
        <v>44</v>
      </c>
      <c r="AC3" s="71" t="s">
        <v>24</v>
      </c>
      <c r="AD3" s="3" t="s">
        <v>37</v>
      </c>
      <c r="AE3" s="4" t="s">
        <v>45</v>
      </c>
      <c r="AF3" s="71" t="s">
        <v>24</v>
      </c>
      <c r="AG3" s="3" t="s">
        <v>37</v>
      </c>
      <c r="AH3" s="4" t="s">
        <v>46</v>
      </c>
      <c r="AI3" s="71" t="s">
        <v>24</v>
      </c>
      <c r="AJ3" s="3" t="s">
        <v>37</v>
      </c>
      <c r="AK3" s="4" t="s">
        <v>47</v>
      </c>
      <c r="AL3" s="71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3" t="s">
        <v>31</v>
      </c>
      <c r="AT3" s="23" t="s">
        <v>24</v>
      </c>
      <c r="AU3" s="3" t="s">
        <v>37</v>
      </c>
    </row>
    <row r="4" spans="2:47">
      <c r="B4" s="43">
        <v>9405</v>
      </c>
      <c r="C4" s="50"/>
      <c r="D4" s="89"/>
      <c r="E4" s="34" t="s">
        <v>26</v>
      </c>
      <c r="F4" s="3">
        <v>7</v>
      </c>
      <c r="G4" s="89"/>
      <c r="H4" s="34" t="s">
        <v>26</v>
      </c>
      <c r="I4" s="3">
        <v>7</v>
      </c>
      <c r="J4" s="89"/>
      <c r="K4" s="34" t="s">
        <v>26</v>
      </c>
      <c r="L4" s="3">
        <v>10</v>
      </c>
      <c r="M4" s="89"/>
      <c r="N4" s="34" t="s">
        <v>26</v>
      </c>
      <c r="O4" s="3">
        <v>10</v>
      </c>
      <c r="P4" s="89"/>
      <c r="Q4" s="34" t="s">
        <v>26</v>
      </c>
      <c r="R4" s="3">
        <v>10</v>
      </c>
      <c r="S4" s="89"/>
      <c r="T4" s="34" t="s">
        <v>26</v>
      </c>
      <c r="U4" s="3">
        <v>10</v>
      </c>
      <c r="V4" s="89"/>
      <c r="W4" s="34" t="s">
        <v>26</v>
      </c>
      <c r="X4" s="3">
        <v>10</v>
      </c>
      <c r="Y4" s="89"/>
      <c r="Z4" s="34" t="s">
        <v>26</v>
      </c>
      <c r="AA4" s="3">
        <v>0</v>
      </c>
      <c r="AB4" s="50"/>
      <c r="AC4" s="34" t="s">
        <v>26</v>
      </c>
      <c r="AD4" s="3">
        <v>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9.1428571428571423</v>
      </c>
      <c r="AS4" s="42">
        <v>7</v>
      </c>
      <c r="AT4" s="3" t="s">
        <v>26</v>
      </c>
      <c r="AU4" s="3">
        <f>+AR4</f>
        <v>9.1428571428571423</v>
      </c>
    </row>
    <row r="5" spans="2:47">
      <c r="B5" s="10" t="s">
        <v>3</v>
      </c>
      <c r="C5" s="16"/>
      <c r="D5" s="90">
        <v>688.06399999999996</v>
      </c>
      <c r="E5" s="64">
        <f>+D5/D5</f>
        <v>1</v>
      </c>
      <c r="F5" s="83">
        <f>+D5/F4</f>
        <v>98.29485714285714</v>
      </c>
      <c r="G5" s="90">
        <v>546.91899999999998</v>
      </c>
      <c r="H5" s="64">
        <f>+G5/G5</f>
        <v>1</v>
      </c>
      <c r="I5" s="83">
        <f>+G5/I4</f>
        <v>78.13128571428571</v>
      </c>
      <c r="J5" s="90">
        <v>27.22522</v>
      </c>
      <c r="K5" s="64">
        <f>+J5/J5</f>
        <v>1</v>
      </c>
      <c r="L5" s="83">
        <f>+J5/L4</f>
        <v>2.7225220000000001</v>
      </c>
      <c r="M5" s="90">
        <v>642.38400000000001</v>
      </c>
      <c r="N5" s="64">
        <f>+M5/M5</f>
        <v>1</v>
      </c>
      <c r="O5" s="83">
        <f>+M5/O4</f>
        <v>64.238399999999999</v>
      </c>
      <c r="P5" s="90">
        <v>756.16600000000005</v>
      </c>
      <c r="Q5" s="64">
        <f>+P5/P5</f>
        <v>1</v>
      </c>
      <c r="R5" s="83">
        <f>+P5/R4</f>
        <v>75.616600000000005</v>
      </c>
      <c r="S5" s="90">
        <f>1032.889</f>
        <v>1032.8889999999999</v>
      </c>
      <c r="T5" s="64">
        <f>+S5/S5</f>
        <v>1</v>
      </c>
      <c r="U5" s="83">
        <f>+S5/U4</f>
        <v>103.28889999999998</v>
      </c>
      <c r="V5" s="90">
        <v>673.56066999999996</v>
      </c>
      <c r="W5" s="64">
        <f>+V5/V5</f>
        <v>1</v>
      </c>
      <c r="X5" s="83">
        <f>+V5/X4</f>
        <v>67.356066999999996</v>
      </c>
      <c r="Y5" s="90">
        <v>0</v>
      </c>
      <c r="Z5" s="64" t="e">
        <f>+Y5/Y5</f>
        <v>#DIV/0!</v>
      </c>
      <c r="AA5" s="83" t="e">
        <f>+Y5/AA4</f>
        <v>#DIV/0!</v>
      </c>
      <c r="AB5" s="9">
        <v>0</v>
      </c>
      <c r="AC5" s="54" t="e">
        <f>+AB5/$AB$5</f>
        <v>#DIV/0!</v>
      </c>
      <c r="AD5" s="83" t="e">
        <f>+AB5/AD4</f>
        <v>#DIV/0!</v>
      </c>
      <c r="AE5" s="9">
        <v>0</v>
      </c>
      <c r="AF5" s="54" t="e">
        <f>+AE5/$AE$5</f>
        <v>#DIV/0!</v>
      </c>
      <c r="AG5" s="83" t="e">
        <f>+AE5/AG4</f>
        <v>#DIV/0!</v>
      </c>
      <c r="AH5" s="9">
        <v>0</v>
      </c>
      <c r="AI5" s="54" t="e">
        <f>+AH5/$AH$5</f>
        <v>#DIV/0!</v>
      </c>
      <c r="AJ5" s="83" t="e">
        <f>+AH5/AJ4</f>
        <v>#DIV/0!</v>
      </c>
      <c r="AK5" s="9">
        <v>0</v>
      </c>
      <c r="AL5" s="54" t="e">
        <f>+AK5/$AK$5</f>
        <v>#DIV/0!</v>
      </c>
      <c r="AM5" s="83" t="e">
        <f>+AK5/AM4</f>
        <v>#DIV/0!</v>
      </c>
      <c r="AN5" s="16"/>
      <c r="AO5" s="16"/>
      <c r="AP5" s="30">
        <f>+V5+AB5+AE5+AH5+AK5+Y5+S5+P5+M5+J5+D5+G5</f>
        <v>4367.2078899999997</v>
      </c>
      <c r="AQ5" s="64">
        <f>+AP5/$AP$5</f>
        <v>1</v>
      </c>
      <c r="AR5" s="83">
        <f>+AP5/AR4</f>
        <v>477.66336296874999</v>
      </c>
      <c r="AS5" s="30">
        <f>+AP5/$AS$4</f>
        <v>623.88684142857142</v>
      </c>
      <c r="AT5" s="57"/>
      <c r="AU5" s="83">
        <f>+AS5/AU4</f>
        <v>68.237623281250009</v>
      </c>
    </row>
    <row r="6" spans="2:47">
      <c r="B6" s="7" t="s">
        <v>4</v>
      </c>
      <c r="C6" s="16"/>
      <c r="D6" s="91">
        <f>107.484+12.521+57.62</f>
        <v>177.625</v>
      </c>
      <c r="E6" s="65">
        <f>+D6/D5</f>
        <v>0.25815185796670076</v>
      </c>
      <c r="F6" s="84">
        <f>+D6/F4</f>
        <v>25.375</v>
      </c>
      <c r="G6" s="91">
        <f>99.1513+14.453+2.713</f>
        <v>116.3173</v>
      </c>
      <c r="H6" s="65">
        <f>+G6/G5</f>
        <v>0.21267738001422515</v>
      </c>
      <c r="I6" s="84">
        <f>+G6/I4</f>
        <v>16.616757142857143</v>
      </c>
      <c r="J6" s="91">
        <f>118.377+67.44968+65.1975</f>
        <v>251.02418</v>
      </c>
      <c r="K6" s="65">
        <f>+J6/J5</f>
        <v>9.2202810482339537</v>
      </c>
      <c r="L6" s="84">
        <f>+J6/L4</f>
        <v>25.102418</v>
      </c>
      <c r="M6" s="91">
        <f>109.165+8.29375+96.449</f>
        <v>213.90775000000002</v>
      </c>
      <c r="N6" s="65">
        <f>+M6/M5</f>
        <v>0.3329904698747167</v>
      </c>
      <c r="O6" s="84">
        <f>+M6/O4</f>
        <v>21.390775000000001</v>
      </c>
      <c r="P6" s="91">
        <f>139.7292+12.44024+19.401</f>
        <v>171.57043999999999</v>
      </c>
      <c r="Q6" s="65">
        <f>+P6/P5</f>
        <v>0.22689520555010406</v>
      </c>
      <c r="R6" s="84">
        <f>+P6/R4</f>
        <v>17.157043999999999</v>
      </c>
      <c r="S6" s="91">
        <f>145.6989+16.88917+80.06</f>
        <v>242.64807000000002</v>
      </c>
      <c r="T6" s="65">
        <f>+S6/S5</f>
        <v>0.23492172924680196</v>
      </c>
      <c r="U6" s="84">
        <f>+S6/U4</f>
        <v>24.264807000000001</v>
      </c>
      <c r="V6" s="91">
        <f>124.8358+61.991</f>
        <v>186.82679999999999</v>
      </c>
      <c r="W6" s="65">
        <f>+V6/V5</f>
        <v>0.27737189583827693</v>
      </c>
      <c r="X6" s="84">
        <f>+V6/X4</f>
        <v>18.682679999999998</v>
      </c>
      <c r="Y6" s="91">
        <v>0</v>
      </c>
      <c r="Z6" s="65" t="e">
        <f>+Y6/Y5</f>
        <v>#DIV/0!</v>
      </c>
      <c r="AA6" s="84" t="e">
        <f>+Y6/AA4</f>
        <v>#DIV/0!</v>
      </c>
      <c r="AB6" s="11">
        <v>0</v>
      </c>
      <c r="AC6" s="55" t="e">
        <f>+AB6/$AB$5</f>
        <v>#DIV/0!</v>
      </c>
      <c r="AD6" s="84" t="e">
        <f>+AB6/AD4</f>
        <v>#DIV/0!</v>
      </c>
      <c r="AE6" s="11">
        <v>0</v>
      </c>
      <c r="AF6" s="55" t="e">
        <f>+AE6/$AE$5</f>
        <v>#DIV/0!</v>
      </c>
      <c r="AG6" s="84" t="e">
        <f>+AE6/AG4</f>
        <v>#DIV/0!</v>
      </c>
      <c r="AH6" s="11">
        <v>0</v>
      </c>
      <c r="AI6" s="55" t="e">
        <f>+AH6/$AH$5</f>
        <v>#DIV/0!</v>
      </c>
      <c r="AJ6" s="84" t="e">
        <f>+AH6/AJ4</f>
        <v>#DIV/0!</v>
      </c>
      <c r="AK6" s="11">
        <v>0</v>
      </c>
      <c r="AL6" s="55" t="e">
        <f>+AK6/$AK$5</f>
        <v>#DIV/0!</v>
      </c>
      <c r="AM6" s="84" t="e">
        <f>+AK6/AM4</f>
        <v>#DIV/0!</v>
      </c>
      <c r="AN6" s="16"/>
      <c r="AO6" s="16"/>
      <c r="AP6" s="96">
        <f>+V6+AB6+AE6+AH6+AK6+Y6+S6+P6+M6+J6+D6+G6</f>
        <v>1359.9195400000001</v>
      </c>
      <c r="AQ6" s="65">
        <f>+AP6/$AP$5</f>
        <v>0.31139336030096798</v>
      </c>
      <c r="AR6" s="84">
        <f>+AP6/AR4</f>
        <v>148.74119968750003</v>
      </c>
      <c r="AS6" s="14">
        <f t="shared" ref="AS6:AS9" si="0">+AP6/$AS$4</f>
        <v>194.27422000000001</v>
      </c>
      <c r="AT6" s="57"/>
      <c r="AU6" s="84">
        <f>+AS6/AU4</f>
        <v>21.248742812500002</v>
      </c>
    </row>
    <row r="7" spans="2:47">
      <c r="B7" s="10" t="s">
        <v>7</v>
      </c>
      <c r="C7" s="16"/>
      <c r="D7" s="36">
        <f>+D5-D6</f>
        <v>510.43899999999996</v>
      </c>
      <c r="E7" s="65">
        <f>+D7/D5</f>
        <v>0.74184814203329918</v>
      </c>
      <c r="F7" s="85">
        <f>+F5-F6</f>
        <v>72.91985714285714</v>
      </c>
      <c r="G7" s="36">
        <f>+G5-G6</f>
        <v>430.60169999999999</v>
      </c>
      <c r="H7" s="65">
        <f>+G7/G5</f>
        <v>0.78732261998577491</v>
      </c>
      <c r="I7" s="85">
        <f>+I5-I6</f>
        <v>61.514528571428571</v>
      </c>
      <c r="J7" s="36">
        <f>+J5-J6</f>
        <v>-223.79895999999999</v>
      </c>
      <c r="K7" s="65">
        <f>+J7/J5</f>
        <v>-8.2202810482339537</v>
      </c>
      <c r="L7" s="85">
        <f>+L5-L6</f>
        <v>-22.379895999999999</v>
      </c>
      <c r="M7" s="36">
        <f>+M5-M6</f>
        <v>428.47624999999999</v>
      </c>
      <c r="N7" s="65">
        <f>+M7/M5</f>
        <v>0.6670095301252833</v>
      </c>
      <c r="O7" s="85">
        <f>+O5-O6</f>
        <v>42.847624999999994</v>
      </c>
      <c r="P7" s="36">
        <f>+P5-P6</f>
        <v>584.59556000000009</v>
      </c>
      <c r="Q7" s="65">
        <f>+P7/P5</f>
        <v>0.77310479444989599</v>
      </c>
      <c r="R7" s="85">
        <f>+R5-R6</f>
        <v>58.459556000000006</v>
      </c>
      <c r="S7" s="36">
        <f>+S5-S6</f>
        <v>790.24092999999993</v>
      </c>
      <c r="T7" s="65">
        <f>+S7/S5</f>
        <v>0.76507827075319812</v>
      </c>
      <c r="U7" s="85">
        <f>+U5-U6</f>
        <v>79.024092999999979</v>
      </c>
      <c r="V7" s="36">
        <f>+V5-V6</f>
        <v>486.73386999999997</v>
      </c>
      <c r="W7" s="65">
        <f>+V7/V5</f>
        <v>0.72262810416172307</v>
      </c>
      <c r="X7" s="85">
        <f>+X5-X6</f>
        <v>48.673386999999998</v>
      </c>
      <c r="Y7" s="36">
        <f>+Y5-Y6</f>
        <v>0</v>
      </c>
      <c r="Z7" s="65" t="e">
        <f>+Y7/Y5</f>
        <v>#DIV/0!</v>
      </c>
      <c r="AA7" s="85" t="e">
        <f>+AA5-AA6</f>
        <v>#DIV/0!</v>
      </c>
      <c r="AB7" s="8">
        <f>+AB5-AB6</f>
        <v>0</v>
      </c>
      <c r="AC7" s="56" t="e">
        <f>+AB7/$AB$5</f>
        <v>#DIV/0!</v>
      </c>
      <c r="AD7" s="85" t="e">
        <f>+AD5-AD6</f>
        <v>#DIV/0!</v>
      </c>
      <c r="AE7" s="8">
        <f>+AE5-AE6</f>
        <v>0</v>
      </c>
      <c r="AF7" s="56" t="e">
        <f>+AE7/$AE$5</f>
        <v>#DIV/0!</v>
      </c>
      <c r="AG7" s="85" t="e">
        <f>+AG5-AG6</f>
        <v>#DIV/0!</v>
      </c>
      <c r="AH7" s="8">
        <f>+AH5-AH6</f>
        <v>0</v>
      </c>
      <c r="AI7" s="56" t="e">
        <f>+AH7/$AH$5</f>
        <v>#DIV/0!</v>
      </c>
      <c r="AJ7" s="85" t="e">
        <f>+AJ5-AJ6</f>
        <v>#DIV/0!</v>
      </c>
      <c r="AK7" s="8">
        <f>+AK5-AK6</f>
        <v>0</v>
      </c>
      <c r="AL7" s="56" t="e">
        <f>+AK7/$AK$5</f>
        <v>#DIV/0!</v>
      </c>
      <c r="AM7" s="85" t="e">
        <f>+AM5-AM6</f>
        <v>#DIV/0!</v>
      </c>
      <c r="AN7" s="16"/>
      <c r="AO7" s="16"/>
      <c r="AP7" s="30">
        <f>+V7+AB7+AE7+AH7+AK7+Y7+S7+P7+M7+J7+D7+G7</f>
        <v>3007.2883500000003</v>
      </c>
      <c r="AQ7" s="65">
        <f>+AP7/$AP$5</f>
        <v>0.68860663969903213</v>
      </c>
      <c r="AR7" s="85">
        <f>+AR5-AR6</f>
        <v>328.92216328124994</v>
      </c>
      <c r="AS7" s="13">
        <f t="shared" si="0"/>
        <v>429.61262142857146</v>
      </c>
      <c r="AT7" s="57"/>
      <c r="AU7" s="85">
        <f>+AU5-AU6</f>
        <v>46.988880468750011</v>
      </c>
    </row>
    <row r="8" spans="2:47">
      <c r="B8" s="7" t="s">
        <v>5</v>
      </c>
      <c r="C8" s="16"/>
      <c r="D8" s="91">
        <f>327.297-57.62</f>
        <v>269.67700000000002</v>
      </c>
      <c r="E8" s="65">
        <f>+D8/D5</f>
        <v>0.3919359245651568</v>
      </c>
      <c r="F8" s="84">
        <f>+D8/F4</f>
        <v>38.525285714285715</v>
      </c>
      <c r="G8" s="91">
        <f>297.134-0.11</f>
        <v>297.024</v>
      </c>
      <c r="H8" s="65">
        <f>+G8/G5</f>
        <v>0.54308590485976904</v>
      </c>
      <c r="I8" s="84">
        <f>+G8/I4</f>
        <v>42.432000000000002</v>
      </c>
      <c r="J8" s="91">
        <v>299.88400000000001</v>
      </c>
      <c r="K8" s="65">
        <f>+J8/J5</f>
        <v>11.014933947273889</v>
      </c>
      <c r="L8" s="84">
        <f>+J8/L4</f>
        <v>29.988400000000002</v>
      </c>
      <c r="M8" s="91">
        <v>249.578</v>
      </c>
      <c r="N8" s="65">
        <f>+M8/M5</f>
        <v>0.3885183939824155</v>
      </c>
      <c r="O8" s="84">
        <f>+M8/O4</f>
        <v>24.957799999999999</v>
      </c>
      <c r="P8" s="91">
        <f>544.18659+32.20211-139.729-12.44024-19.401</f>
        <v>404.8184599999999</v>
      </c>
      <c r="Q8" s="65">
        <f>+P8/P5</f>
        <v>0.53535660159277176</v>
      </c>
      <c r="R8" s="84">
        <f>+P8/R4</f>
        <v>40.48184599999999</v>
      </c>
      <c r="S8" s="91">
        <v>335.07400000000001</v>
      </c>
      <c r="T8" s="65">
        <f>+S8/S5</f>
        <v>0.32440465529209822</v>
      </c>
      <c r="U8" s="84">
        <f>+S8/U4</f>
        <v>33.507400000000004</v>
      </c>
      <c r="V8" s="91">
        <v>936.70100000000002</v>
      </c>
      <c r="W8" s="65">
        <f>+V8/V5</f>
        <v>1.3906705686957643</v>
      </c>
      <c r="X8" s="84">
        <f>+V8/X4</f>
        <v>93.670100000000005</v>
      </c>
      <c r="Y8" s="91">
        <v>0</v>
      </c>
      <c r="Z8" s="65" t="e">
        <f>+Y8/Y5</f>
        <v>#DIV/0!</v>
      </c>
      <c r="AA8" s="84" t="e">
        <f>+Y8/AA4</f>
        <v>#DIV/0!</v>
      </c>
      <c r="AB8" s="11">
        <v>0</v>
      </c>
      <c r="AC8" s="55" t="e">
        <f>+AB8/$AB$5</f>
        <v>#DIV/0!</v>
      </c>
      <c r="AD8" s="84" t="e">
        <f>+AB8/AD4</f>
        <v>#DIV/0!</v>
      </c>
      <c r="AE8" s="11">
        <v>0</v>
      </c>
      <c r="AF8" s="55" t="e">
        <f>+AE8/$AE$5</f>
        <v>#DIV/0!</v>
      </c>
      <c r="AG8" s="84" t="e">
        <f>+AE8/AG4</f>
        <v>#DIV/0!</v>
      </c>
      <c r="AH8" s="11">
        <v>0</v>
      </c>
      <c r="AI8" s="55" t="e">
        <f>+AH8/$AH$5</f>
        <v>#DIV/0!</v>
      </c>
      <c r="AJ8" s="84" t="e">
        <f>+AH8/AJ4</f>
        <v>#DIV/0!</v>
      </c>
      <c r="AK8" s="88">
        <v>0</v>
      </c>
      <c r="AL8" s="55" t="e">
        <f>+AK8/$AK$5</f>
        <v>#DIV/0!</v>
      </c>
      <c r="AM8" s="84" t="e">
        <f>+AK8/AM4</f>
        <v>#DIV/0!</v>
      </c>
      <c r="AN8" s="16"/>
      <c r="AO8" s="16"/>
      <c r="AP8" s="96">
        <f>+V8+AB8+AE8+AH8+AK8+Y8+S8+P8+M8+J8+D8+G8</f>
        <v>2792.7564600000001</v>
      </c>
      <c r="AQ8" s="65">
        <f>+AP8/$AP$5</f>
        <v>0.63948328779924424</v>
      </c>
      <c r="AR8" s="84">
        <f>+AP8/AR4</f>
        <v>305.4577378125</v>
      </c>
      <c r="AS8" s="14">
        <f t="shared" si="0"/>
        <v>398.9652085714286</v>
      </c>
      <c r="AT8" s="57"/>
      <c r="AU8" s="84">
        <f>+AS8/AU4</f>
        <v>43.636819687500008</v>
      </c>
    </row>
    <row r="9" spans="2:47">
      <c r="B9" s="18" t="s">
        <v>13</v>
      </c>
      <c r="C9" s="16"/>
      <c r="D9" s="92">
        <f>+D5-D6-D8</f>
        <v>240.76199999999994</v>
      </c>
      <c r="E9" s="64">
        <f>+D9/D5</f>
        <v>0.34991221746814244</v>
      </c>
      <c r="F9" s="15">
        <f>+F5-F6-F8</f>
        <v>34.394571428571425</v>
      </c>
      <c r="G9" s="92">
        <f>+G5-G6-G8</f>
        <v>133.57769999999999</v>
      </c>
      <c r="H9" s="64">
        <f>+G9/G5</f>
        <v>0.24423671512600587</v>
      </c>
      <c r="I9" s="15">
        <f>+I5-I6-I8</f>
        <v>19.082528571428568</v>
      </c>
      <c r="J9" s="92">
        <f>+J5-J6-J8</f>
        <v>-523.68295999999998</v>
      </c>
      <c r="K9" s="64">
        <f>+J9/J5</f>
        <v>-19.235214995507842</v>
      </c>
      <c r="L9" s="15">
        <f>+L5-L6-L8</f>
        <v>-52.368296000000001</v>
      </c>
      <c r="M9" s="92">
        <f>+M5-M6-M8</f>
        <v>178.89824999999999</v>
      </c>
      <c r="N9" s="64">
        <f>+M9/M5</f>
        <v>0.2784911361428678</v>
      </c>
      <c r="O9" s="15">
        <f>+O5-O6-O8</f>
        <v>17.889824999999995</v>
      </c>
      <c r="P9" s="92">
        <f>+P5-P6-P8</f>
        <v>179.77710000000019</v>
      </c>
      <c r="Q9" s="64">
        <f>+P9/P5</f>
        <v>0.2377481928571242</v>
      </c>
      <c r="R9" s="15">
        <f>+R5-R6-R8</f>
        <v>17.977710000000016</v>
      </c>
      <c r="S9" s="92">
        <f>+S5-S6-S8</f>
        <v>455.16692999999992</v>
      </c>
      <c r="T9" s="64">
        <f>+S9/S5</f>
        <v>0.44067361546109984</v>
      </c>
      <c r="U9" s="15">
        <f>+U5-U6-U8</f>
        <v>45.516692999999975</v>
      </c>
      <c r="V9" s="92">
        <f>+V5-V6-V8</f>
        <v>-449.96713000000005</v>
      </c>
      <c r="W9" s="64">
        <f>+V9/V5</f>
        <v>-0.66804246453404126</v>
      </c>
      <c r="X9" s="15">
        <f>+X5-X6-X8</f>
        <v>-44.996713000000007</v>
      </c>
      <c r="Y9" s="92">
        <f>+Y5-Y6-Y8</f>
        <v>0</v>
      </c>
      <c r="Z9" s="6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+AB9/$AB$5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7">
        <f>+V9+AB9+AE9+AH9+AK9+Y9+S9+P9+M9+J9+D9+G9</f>
        <v>214.53189000000003</v>
      </c>
      <c r="AQ9" s="64">
        <f>+AP9/$AP$5</f>
        <v>4.9123351899787865E-2</v>
      </c>
      <c r="AR9" s="15">
        <f>+AR5-AR6-AR8</f>
        <v>23.464425468749937</v>
      </c>
      <c r="AS9" s="29">
        <f t="shared" si="0"/>
        <v>30.647412857142861</v>
      </c>
      <c r="AT9" s="57"/>
      <c r="AU9" s="15">
        <f>+AU5-AU6-AU8</f>
        <v>3.3520607812500032</v>
      </c>
    </row>
    <row r="10" spans="2:47" ht="7.5" customHeight="1">
      <c r="B10" s="16"/>
      <c r="C10" s="16"/>
      <c r="D10" s="93"/>
      <c r="E10" s="72"/>
      <c r="F10" s="57"/>
      <c r="G10" s="93"/>
      <c r="H10" s="72"/>
      <c r="I10" s="57"/>
      <c r="J10" s="93"/>
      <c r="K10" s="72"/>
      <c r="L10" s="57"/>
      <c r="M10" s="93"/>
      <c r="N10" s="72"/>
      <c r="O10" s="57"/>
      <c r="P10" s="93"/>
      <c r="Q10" s="72"/>
      <c r="R10" s="57"/>
      <c r="S10" s="93"/>
      <c r="T10" s="72"/>
      <c r="U10" s="57"/>
      <c r="V10" s="93"/>
      <c r="W10" s="72"/>
      <c r="X10" s="57"/>
      <c r="Y10" s="93"/>
      <c r="Z10" s="72"/>
      <c r="AA10" s="57"/>
      <c r="AB10" s="32"/>
      <c r="AC10" s="57"/>
      <c r="AD10" s="57"/>
      <c r="AE10" s="32"/>
      <c r="AF10" s="57"/>
      <c r="AG10" s="57"/>
      <c r="AH10" s="16"/>
      <c r="AI10" s="16"/>
      <c r="AJ10" s="16"/>
      <c r="AK10" s="16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93">
        <v>6</v>
      </c>
      <c r="E11" s="72"/>
      <c r="F11" s="84">
        <f>+D11/F4</f>
        <v>0.8571428571428571</v>
      </c>
      <c r="G11" s="93">
        <v>6</v>
      </c>
      <c r="H11" s="72"/>
      <c r="I11" s="84">
        <f>+G11/I4</f>
        <v>0.8571428571428571</v>
      </c>
      <c r="J11" s="93">
        <v>6</v>
      </c>
      <c r="K11" s="72"/>
      <c r="L11" s="84">
        <f>+J11/L4</f>
        <v>0.6</v>
      </c>
      <c r="M11" s="93">
        <v>6</v>
      </c>
      <c r="N11" s="72"/>
      <c r="O11" s="84">
        <f>+M11/O4</f>
        <v>0.6</v>
      </c>
      <c r="P11" s="93">
        <v>9</v>
      </c>
      <c r="Q11" s="72"/>
      <c r="R11" s="84">
        <f>+P11/R4</f>
        <v>0.9</v>
      </c>
      <c r="S11" s="93">
        <v>9</v>
      </c>
      <c r="T11" s="72"/>
      <c r="U11" s="84">
        <f>+S11/U4</f>
        <v>0.9</v>
      </c>
      <c r="V11" s="93">
        <v>9</v>
      </c>
      <c r="W11" s="72"/>
      <c r="X11" s="84">
        <f>+V11/X4</f>
        <v>0.9</v>
      </c>
      <c r="Y11" s="93">
        <v>0</v>
      </c>
      <c r="Z11" s="72"/>
      <c r="AA11" s="84" t="e">
        <f>+Y11/AA4</f>
        <v>#DIV/0!</v>
      </c>
      <c r="AB11" s="32">
        <v>0</v>
      </c>
      <c r="AC11" s="57"/>
      <c r="AD11" s="84" t="e">
        <f>+AB11/AD4</f>
        <v>#DIV/0!</v>
      </c>
      <c r="AE11" s="32">
        <v>0</v>
      </c>
      <c r="AF11" s="57"/>
      <c r="AG11" s="84" t="e">
        <f>+AE11/AG4</f>
        <v>#DIV/0!</v>
      </c>
      <c r="AH11" s="16">
        <v>0</v>
      </c>
      <c r="AI11" s="84"/>
      <c r="AJ11" s="84" t="e">
        <f>+AH11/AJ4</f>
        <v>#DIV/0!</v>
      </c>
      <c r="AK11" s="16">
        <v>0</v>
      </c>
      <c r="AL11" s="16"/>
      <c r="AM11" s="84" t="e">
        <f>+AK11/AM4</f>
        <v>#DIV/0!</v>
      </c>
      <c r="AN11" s="16"/>
      <c r="AO11" s="16"/>
      <c r="AP11" s="96">
        <f>+V11+AB11+AE11+AH11+AK11+Y11+S11+P11+M11+J11+D11+G11</f>
        <v>51</v>
      </c>
      <c r="AQ11" s="57"/>
      <c r="AR11" s="84">
        <f>+AP11/AR4</f>
        <v>5.578125</v>
      </c>
      <c r="AS11" s="28">
        <f>+AP11/AS4</f>
        <v>7.2857142857142856</v>
      </c>
      <c r="AT11" s="57"/>
      <c r="AU11" s="84">
        <f>+AS11/AU4</f>
        <v>0.796875</v>
      </c>
    </row>
    <row r="12" spans="2:47">
      <c r="B12" s="17" t="s">
        <v>14</v>
      </c>
      <c r="C12" s="16"/>
      <c r="D12" s="93">
        <v>228.53942000000001</v>
      </c>
      <c r="E12" s="72"/>
      <c r="F12" s="84">
        <f>+D12/F4</f>
        <v>32.648488571428572</v>
      </c>
      <c r="G12" s="93">
        <v>222.542</v>
      </c>
      <c r="H12" s="72"/>
      <c r="I12" s="84">
        <f>+G12/I4</f>
        <v>31.791714285714285</v>
      </c>
      <c r="J12" s="93">
        <v>211.773</v>
      </c>
      <c r="K12" s="72"/>
      <c r="L12" s="84">
        <f>+J12/L4</f>
        <v>21.177299999999999</v>
      </c>
      <c r="M12" s="93">
        <v>206.90787</v>
      </c>
      <c r="N12" s="72"/>
      <c r="O12" s="84">
        <f>+M12/O4</f>
        <v>20.690787</v>
      </c>
      <c r="P12" s="93">
        <v>307.30099999999999</v>
      </c>
      <c r="Q12" s="72"/>
      <c r="R12" s="84">
        <f>+P12/R4</f>
        <v>30.7301</v>
      </c>
      <c r="S12" s="93">
        <v>284.077</v>
      </c>
      <c r="T12" s="72"/>
      <c r="U12" s="84">
        <f>+S12/U4</f>
        <v>28.407699999999998</v>
      </c>
      <c r="V12" s="93">
        <v>371.71875999999997</v>
      </c>
      <c r="W12" s="72"/>
      <c r="X12" s="84">
        <f>+V12/X4</f>
        <v>37.171875999999997</v>
      </c>
      <c r="Y12" s="93">
        <v>0</v>
      </c>
      <c r="Z12" s="72"/>
      <c r="AA12" s="84" t="e">
        <f>+Y12/AA4</f>
        <v>#DIV/0!</v>
      </c>
      <c r="AB12" s="32">
        <v>0</v>
      </c>
      <c r="AC12" s="57"/>
      <c r="AD12" s="84" t="e">
        <f>+AB12/AD4</f>
        <v>#DIV/0!</v>
      </c>
      <c r="AE12" s="32">
        <v>0</v>
      </c>
      <c r="AF12" s="57"/>
      <c r="AG12" s="84" t="e">
        <f>+AE12/AG4</f>
        <v>#DIV/0!</v>
      </c>
      <c r="AH12" s="32">
        <v>0</v>
      </c>
      <c r="AI12" s="57"/>
      <c r="AJ12" s="84" t="e">
        <f>+AH12/AJ4</f>
        <v>#DIV/0!</v>
      </c>
      <c r="AK12" s="32">
        <v>0</v>
      </c>
      <c r="AL12" s="16"/>
      <c r="AM12" s="84" t="e">
        <f>+AK12/AM4</f>
        <v>#DIV/0!</v>
      </c>
      <c r="AN12" s="16"/>
      <c r="AO12" s="16"/>
      <c r="AP12" s="96">
        <f>+V12+AB12+AE12+AH12+AK12+Y12+S12+P12+M12+J12+D12+G12</f>
        <v>1832.8590499999998</v>
      </c>
      <c r="AQ12" s="57"/>
      <c r="AR12" s="84">
        <f>+AP12/AR4</f>
        <v>200.46895859374999</v>
      </c>
      <c r="AS12" s="14">
        <f t="shared" ref="AS12" si="1">+AP12/$AS$4</f>
        <v>261.83700714285709</v>
      </c>
      <c r="AT12" s="57"/>
      <c r="AU12" s="84">
        <f>+AS12/AU4</f>
        <v>28.638422656249997</v>
      </c>
    </row>
    <row r="13" spans="2:47">
      <c r="B13" s="18" t="s">
        <v>19</v>
      </c>
      <c r="C13" s="16"/>
      <c r="D13" s="35">
        <f>+D12/D5</f>
        <v>0.33214849200074414</v>
      </c>
      <c r="E13" s="72"/>
      <c r="F13" s="33"/>
      <c r="G13" s="35">
        <f>+G12/G5</f>
        <v>0.40690120474878366</v>
      </c>
      <c r="H13" s="72"/>
      <c r="I13" s="33"/>
      <c r="J13" s="35">
        <f>+J12/J5</f>
        <v>7.7785597324833367</v>
      </c>
      <c r="K13" s="72"/>
      <c r="L13" s="33"/>
      <c r="M13" s="35">
        <f>+M12/M5</f>
        <v>0.32209374766494808</v>
      </c>
      <c r="N13" s="72"/>
      <c r="O13" s="33"/>
      <c r="P13" s="35">
        <f>+P12/P5</f>
        <v>0.40639356966591988</v>
      </c>
      <c r="Q13" s="72"/>
      <c r="R13" s="33"/>
      <c r="S13" s="35">
        <f>+S12/S5</f>
        <v>0.27503148934687077</v>
      </c>
      <c r="T13" s="72"/>
      <c r="U13" s="33"/>
      <c r="V13" s="35">
        <f>+V12/V5</f>
        <v>0.55187123678109051</v>
      </c>
      <c r="W13" s="72"/>
      <c r="X13" s="33"/>
      <c r="Y13" s="35" t="e">
        <f>+Y12/Y5</f>
        <v>#DIV/0!</v>
      </c>
      <c r="Z13" s="72"/>
      <c r="AA13" s="33"/>
      <c r="AB13" s="33" t="e">
        <f>+AB12/AB5</f>
        <v>#DIV/0!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0.41968669597727803</v>
      </c>
      <c r="AQ13" s="57"/>
      <c r="AR13" s="33"/>
      <c r="AS13" s="35">
        <f>+AS12/AS5</f>
        <v>0.41968669597727798</v>
      </c>
      <c r="AT13" s="57"/>
      <c r="AU13" s="33"/>
    </row>
    <row r="14" spans="2:47">
      <c r="B14" s="18" t="s">
        <v>15</v>
      </c>
      <c r="C14" s="16"/>
      <c r="D14" s="36">
        <f>+D5/D11</f>
        <v>114.67733333333332</v>
      </c>
      <c r="E14" s="72"/>
      <c r="F14" s="8"/>
      <c r="G14" s="36">
        <f>+G5/G11</f>
        <v>91.153166666666664</v>
      </c>
      <c r="H14" s="72"/>
      <c r="I14" s="8"/>
      <c r="J14" s="36">
        <f>+J5/J11</f>
        <v>4.537536666666667</v>
      </c>
      <c r="K14" s="72"/>
      <c r="L14" s="8"/>
      <c r="M14" s="36">
        <f>+M5/M11</f>
        <v>107.06400000000001</v>
      </c>
      <c r="N14" s="72"/>
      <c r="O14" s="8"/>
      <c r="P14" s="36">
        <f>+P5/P11</f>
        <v>84.018444444444455</v>
      </c>
      <c r="Q14" s="72"/>
      <c r="R14" s="8"/>
      <c r="S14" s="36">
        <f>+S5/S11</f>
        <v>114.76544444444443</v>
      </c>
      <c r="T14" s="72"/>
      <c r="U14" s="8"/>
      <c r="V14" s="36">
        <f>+V5/V11</f>
        <v>74.84007444444444</v>
      </c>
      <c r="W14" s="72"/>
      <c r="X14" s="8"/>
      <c r="Y14" s="36" t="e">
        <f>+Y5/Y11</f>
        <v>#DIV/0!</v>
      </c>
      <c r="Z14" s="72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85.631527254901954</v>
      </c>
      <c r="AQ14" s="57"/>
      <c r="AR14" s="8"/>
      <c r="AS14" s="36">
        <f>+AS5/AS11</f>
        <v>85.631527254901954</v>
      </c>
      <c r="AT14" s="57"/>
      <c r="AU14" s="8"/>
    </row>
    <row r="15" spans="2:47">
      <c r="B15" s="10" t="s">
        <v>33</v>
      </c>
      <c r="C15" s="16"/>
      <c r="D15" s="36">
        <f>+D12/D11</f>
        <v>38.089903333333332</v>
      </c>
      <c r="E15" s="72"/>
      <c r="F15" s="8"/>
      <c r="G15" s="36">
        <f>+G12/G11</f>
        <v>37.090333333333334</v>
      </c>
      <c r="H15" s="72"/>
      <c r="I15" s="8"/>
      <c r="J15" s="36">
        <f>+J12/J11</f>
        <v>35.295499999999997</v>
      </c>
      <c r="K15" s="72"/>
      <c r="L15" s="8"/>
      <c r="M15" s="36">
        <f>+M12/M11</f>
        <v>34.484645</v>
      </c>
      <c r="N15" s="72"/>
      <c r="O15" s="8"/>
      <c r="P15" s="36">
        <f>+P12/P11</f>
        <v>34.144555555555556</v>
      </c>
      <c r="Q15" s="72"/>
      <c r="R15" s="8"/>
      <c r="S15" s="36">
        <f>+S12/S11</f>
        <v>31.56411111111111</v>
      </c>
      <c r="T15" s="72"/>
      <c r="U15" s="8"/>
      <c r="V15" s="36">
        <f>+V12/V11</f>
        <v>41.302084444444439</v>
      </c>
      <c r="W15" s="72"/>
      <c r="X15" s="8"/>
      <c r="Y15" s="36" t="e">
        <f>+Y12/Y11</f>
        <v>#DIV/0!</v>
      </c>
      <c r="Z15" s="72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35.938412745098034</v>
      </c>
      <c r="AQ15" s="57"/>
      <c r="AR15" s="8"/>
      <c r="AS15" s="36">
        <f>+AS12/AS11</f>
        <v>35.938412745098034</v>
      </c>
      <c r="AT15" s="57"/>
      <c r="AU15" s="8"/>
    </row>
    <row r="16" spans="2:47">
      <c r="B16" s="18" t="s">
        <v>20</v>
      </c>
      <c r="C16" s="16"/>
      <c r="D16" s="35">
        <f>+D12/D7</f>
        <v>0.44773110988776332</v>
      </c>
      <c r="E16" s="72"/>
      <c r="F16" s="33"/>
      <c r="G16" s="35">
        <f>+G12/G7</f>
        <v>0.51681635255968572</v>
      </c>
      <c r="H16" s="72"/>
      <c r="I16" s="33"/>
      <c r="J16" s="35">
        <f>+J12/J7</f>
        <v>-0.94626445091612577</v>
      </c>
      <c r="K16" s="72"/>
      <c r="L16" s="33"/>
      <c r="M16" s="35">
        <f>+M12/M7</f>
        <v>0.48289227232547899</v>
      </c>
      <c r="N16" s="72"/>
      <c r="O16" s="33"/>
      <c r="P16" s="35">
        <f>+P12/P7</f>
        <v>0.52566427292058104</v>
      </c>
      <c r="Q16" s="72"/>
      <c r="R16" s="33"/>
      <c r="S16" s="35">
        <f>+S12/S7</f>
        <v>0.35948150648182703</v>
      </c>
      <c r="T16" s="72"/>
      <c r="U16" s="33"/>
      <c r="V16" s="35">
        <f>+V12/V7</f>
        <v>0.76370021260283361</v>
      </c>
      <c r="W16" s="72"/>
      <c r="X16" s="33"/>
      <c r="Y16" s="35" t="e">
        <f>+Y12/Y7</f>
        <v>#DIV/0!</v>
      </c>
      <c r="Z16" s="72"/>
      <c r="AA16" s="33"/>
      <c r="AB16" s="33" t="e">
        <f>+AB12/AB7</f>
        <v>#DIV/0!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0.60947233410457613</v>
      </c>
      <c r="AQ16" s="57"/>
      <c r="AR16" s="33"/>
      <c r="AS16" s="35">
        <f>+AS12/AS7</f>
        <v>0.60947233410457613</v>
      </c>
      <c r="AT16" s="57"/>
      <c r="AU16" s="33"/>
    </row>
    <row r="17" spans="2:47" ht="7.5" customHeight="1">
      <c r="B17" s="7"/>
      <c r="C17" s="16"/>
      <c r="D17" s="93"/>
      <c r="E17" s="72"/>
      <c r="F17" s="57"/>
      <c r="G17" s="93"/>
      <c r="H17" s="72"/>
      <c r="I17" s="57"/>
      <c r="J17" s="93"/>
      <c r="K17" s="72"/>
      <c r="L17" s="57"/>
      <c r="M17" s="93"/>
      <c r="N17" s="72"/>
      <c r="O17" s="57"/>
      <c r="P17" s="93"/>
      <c r="Q17" s="72"/>
      <c r="R17" s="57"/>
      <c r="S17" s="93"/>
      <c r="T17" s="72"/>
      <c r="U17" s="57"/>
      <c r="V17" s="93"/>
      <c r="W17" s="72"/>
      <c r="X17" s="57"/>
      <c r="Y17" s="93"/>
      <c r="Z17" s="72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91">
        <v>38490</v>
      </c>
      <c r="E18" s="58">
        <v>38490</v>
      </c>
      <c r="F18" s="67">
        <f>+D18/F4</f>
        <v>5498.5714285714284</v>
      </c>
      <c r="G18" s="91">
        <v>38225</v>
      </c>
      <c r="H18" s="91">
        <v>38225</v>
      </c>
      <c r="I18" s="67">
        <f>+G18/I4</f>
        <v>5460.7142857142853</v>
      </c>
      <c r="J18" s="91">
        <v>41920</v>
      </c>
      <c r="K18" s="58">
        <v>41920</v>
      </c>
      <c r="L18" s="67">
        <f>+J18/L4</f>
        <v>4192</v>
      </c>
      <c r="M18" s="91">
        <v>40328</v>
      </c>
      <c r="N18" s="58">
        <v>40328</v>
      </c>
      <c r="O18" s="67">
        <f>+M18/O4</f>
        <v>4032.8</v>
      </c>
      <c r="P18" s="91">
        <v>53483</v>
      </c>
      <c r="Q18" s="58">
        <v>53483</v>
      </c>
      <c r="R18" s="67">
        <f>+P18/R4</f>
        <v>5348.3</v>
      </c>
      <c r="S18" s="91">
        <v>53657</v>
      </c>
      <c r="T18" s="58">
        <v>53657</v>
      </c>
      <c r="U18" s="67">
        <f>+S18/U4</f>
        <v>5365.7</v>
      </c>
      <c r="V18" s="91">
        <v>48057</v>
      </c>
      <c r="W18" s="58">
        <v>48057</v>
      </c>
      <c r="X18" s="67">
        <f>+V18/X4</f>
        <v>4805.7</v>
      </c>
      <c r="Y18" s="91">
        <v>0</v>
      </c>
      <c r="Z18" s="58">
        <v>0</v>
      </c>
      <c r="AA18" s="67" t="e">
        <f>+Y18/AA4</f>
        <v>#DIV/0!</v>
      </c>
      <c r="AB18" s="11">
        <v>0</v>
      </c>
      <c r="AC18" s="58">
        <v>0</v>
      </c>
      <c r="AD18" s="67" t="e">
        <f>+AB18/AD4</f>
        <v>#DIV/0!</v>
      </c>
      <c r="AE18" s="11">
        <v>0</v>
      </c>
      <c r="AF18" s="58">
        <v>0</v>
      </c>
      <c r="AG18" s="67" t="e">
        <f>+AE18/AG4</f>
        <v>#DIV/0!</v>
      </c>
      <c r="AH18" s="11">
        <v>0</v>
      </c>
      <c r="AI18" s="58">
        <v>0</v>
      </c>
      <c r="AJ18" s="67" t="e">
        <f>+AH18/AJ4</f>
        <v>#DIV/0!</v>
      </c>
      <c r="AK18" s="11">
        <v>0</v>
      </c>
      <c r="AL18" s="58">
        <v>0</v>
      </c>
      <c r="AM18" s="67" t="e">
        <f>+AK18/AM4</f>
        <v>#DIV/0!</v>
      </c>
      <c r="AN18" s="16"/>
      <c r="AO18" s="16"/>
      <c r="AP18" s="96">
        <f>+V18+AB18+AE18+AH18+AK18+Y18+S18+P18+M18+J18+D18+G18</f>
        <v>314160</v>
      </c>
      <c r="AQ18" s="67">
        <f>+W18+AC18+AF18+AI18+AL18+Z18+T18+Q18+N18+K18+H18+E18</f>
        <v>314160</v>
      </c>
      <c r="AR18" s="67">
        <f>+AP18/AR4</f>
        <v>34361.25</v>
      </c>
      <c r="AS18" s="14">
        <f t="shared" ref="AS18:AT20" si="2">+AP18/$AS$4</f>
        <v>44880</v>
      </c>
      <c r="AT18" s="67">
        <f t="shared" si="2"/>
        <v>44880</v>
      </c>
      <c r="AU18" s="67">
        <f>+AS18/AU4</f>
        <v>4908.75</v>
      </c>
    </row>
    <row r="19" spans="2:47">
      <c r="B19" s="17" t="s">
        <v>32</v>
      </c>
      <c r="C19" s="16"/>
      <c r="D19" s="91">
        <v>3503.28</v>
      </c>
      <c r="E19" s="58">
        <v>3503.28</v>
      </c>
      <c r="F19" s="67">
        <f>+D19/F4</f>
        <v>500.46857142857147</v>
      </c>
      <c r="G19" s="91">
        <v>3413.31</v>
      </c>
      <c r="H19" s="58">
        <v>3413.31</v>
      </c>
      <c r="I19" s="67">
        <f>+G19/I4</f>
        <v>487.61571428571426</v>
      </c>
      <c r="J19" s="91">
        <v>3886.04</v>
      </c>
      <c r="K19" s="58">
        <v>3886.04</v>
      </c>
      <c r="L19" s="67">
        <f>+J19/L4</f>
        <v>388.60399999999998</v>
      </c>
      <c r="M19" s="91">
        <v>3572.08</v>
      </c>
      <c r="N19" s="58">
        <v>3572.08</v>
      </c>
      <c r="O19" s="67">
        <f>+M19/O4</f>
        <v>357.20799999999997</v>
      </c>
      <c r="P19" s="91">
        <v>4483.3100000000004</v>
      </c>
      <c r="Q19" s="58">
        <v>4483.3100000000004</v>
      </c>
      <c r="R19" s="67">
        <f>+P19/R4</f>
        <v>448.33100000000002</v>
      </c>
      <c r="S19" s="91">
        <v>4678.5</v>
      </c>
      <c r="T19" s="58">
        <v>4678.5</v>
      </c>
      <c r="U19" s="67">
        <f>+S19/U4</f>
        <v>467.85</v>
      </c>
      <c r="V19" s="91">
        <v>4103.28</v>
      </c>
      <c r="W19" s="91">
        <v>4103.28</v>
      </c>
      <c r="X19" s="67">
        <f>+V19/X4</f>
        <v>410.32799999999997</v>
      </c>
      <c r="Y19" s="91">
        <v>0</v>
      </c>
      <c r="Z19" s="58">
        <v>0</v>
      </c>
      <c r="AA19" s="67" t="e">
        <f>+Y19/AA4</f>
        <v>#DIV/0!</v>
      </c>
      <c r="AB19" s="11">
        <v>0</v>
      </c>
      <c r="AC19" s="58">
        <v>0</v>
      </c>
      <c r="AD19" s="67" t="e">
        <f>+AB19/AD4</f>
        <v>#DIV/0!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6">
        <f>+V19+AB19+AE19+AH19+AK19+Y19+S19+P19+M19+J19+D19+G19</f>
        <v>27639.8</v>
      </c>
      <c r="AQ19" s="67">
        <f>+W19+AC19+AF19+AI19+AL19+Z19+T19+Q19+N19+K19+H19+E19</f>
        <v>27639.8</v>
      </c>
      <c r="AR19" s="67">
        <f>+AP19/AR4</f>
        <v>3023.1031250000001</v>
      </c>
      <c r="AS19" s="14">
        <f t="shared" si="2"/>
        <v>3948.542857142857</v>
      </c>
      <c r="AT19" s="67">
        <f t="shared" si="2"/>
        <v>3948.542857142857</v>
      </c>
      <c r="AU19" s="67">
        <f>+AS19/AU4</f>
        <v>431.87187499999999</v>
      </c>
    </row>
    <row r="20" spans="2:47">
      <c r="B20" s="17" t="s">
        <v>27</v>
      </c>
      <c r="C20" s="16"/>
      <c r="D20" s="91">
        <f>107.484</f>
        <v>107.48399999999999</v>
      </c>
      <c r="E20" s="59">
        <v>107.48474</v>
      </c>
      <c r="F20" s="67">
        <f>+D20/F4</f>
        <v>15.354857142857142</v>
      </c>
      <c r="G20" s="91">
        <v>99.151300000000006</v>
      </c>
      <c r="H20" s="59">
        <v>99.151269999999997</v>
      </c>
      <c r="I20" s="67">
        <f>+G20/I4</f>
        <v>14.16447142857143</v>
      </c>
      <c r="J20" s="91">
        <v>118.377</v>
      </c>
      <c r="K20" s="59">
        <v>118.377</v>
      </c>
      <c r="L20" s="67">
        <f>+J20/L4</f>
        <v>11.8377</v>
      </c>
      <c r="M20" s="91">
        <v>109.16589999999999</v>
      </c>
      <c r="N20" s="59">
        <v>109.16598</v>
      </c>
      <c r="O20" s="67">
        <f>+M20/O4</f>
        <v>10.916589999999999</v>
      </c>
      <c r="P20" s="91">
        <v>139.72919999999999</v>
      </c>
      <c r="Q20" s="59">
        <v>139.72916000000001</v>
      </c>
      <c r="R20" s="67">
        <f>+P20/R4</f>
        <v>13.972919999999998</v>
      </c>
      <c r="S20" s="91">
        <v>145.69890000000001</v>
      </c>
      <c r="T20" s="59">
        <v>145.69883999999999</v>
      </c>
      <c r="U20" s="67">
        <f>+S20/U4</f>
        <v>14.569890000000001</v>
      </c>
      <c r="V20" s="91">
        <v>124.83580000000001</v>
      </c>
      <c r="W20" s="59">
        <v>124.83580000000001</v>
      </c>
      <c r="X20" s="67">
        <f>+V20/X4</f>
        <v>12.48358</v>
      </c>
      <c r="Y20" s="9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11">
        <v>0</v>
      </c>
      <c r="AG20" s="67" t="e">
        <f>+AE20/AG4</f>
        <v>#DIV/0!</v>
      </c>
      <c r="AH20" s="11">
        <v>0</v>
      </c>
      <c r="AI20" s="11">
        <v>0</v>
      </c>
      <c r="AJ20" s="67" t="e">
        <f>+AH20/AJ4</f>
        <v>#DIV/0!</v>
      </c>
      <c r="AK20" s="11">
        <v>0</v>
      </c>
      <c r="AL20" s="88">
        <v>0</v>
      </c>
      <c r="AM20" s="67" t="e">
        <f>+AK20/AM4</f>
        <v>#DIV/0!</v>
      </c>
      <c r="AN20" s="16"/>
      <c r="AO20" s="16"/>
      <c r="AP20" s="96">
        <f>+V20+AB20+AE20+AH20+AK20+Y20+S20+P20+M20+J20+D20+G20</f>
        <v>844.44209999999998</v>
      </c>
      <c r="AQ20" s="67">
        <f>+W20+AC20+AF20+AI20+AL20+Z20+T20+Q20+N20+K20+H20+E20</f>
        <v>844.44278999999983</v>
      </c>
      <c r="AR20" s="67">
        <f>+AP20/AR4</f>
        <v>92.360854687500009</v>
      </c>
      <c r="AS20" s="14">
        <f t="shared" si="2"/>
        <v>120.63458571428571</v>
      </c>
      <c r="AT20" s="67">
        <f t="shared" si="2"/>
        <v>120.63468428571426</v>
      </c>
      <c r="AU20" s="67">
        <f>+AS20/AU4</f>
        <v>13.1944078125</v>
      </c>
    </row>
    <row r="21" spans="2:47">
      <c r="B21" s="18" t="s">
        <v>18</v>
      </c>
      <c r="C21" s="16"/>
      <c r="D21" s="45">
        <f t="shared" ref="D21:E21" si="3">+D20/D19*1000</f>
        <v>30.680961841474272</v>
      </c>
      <c r="E21" s="68">
        <f t="shared" si="3"/>
        <v>30.681173072092438</v>
      </c>
      <c r="F21" s="60"/>
      <c r="G21" s="45">
        <f t="shared" ref="G21:H21" si="4">+G20/G19*1000</f>
        <v>29.048430995133756</v>
      </c>
      <c r="H21" s="68">
        <f t="shared" si="4"/>
        <v>29.048422206011175</v>
      </c>
      <c r="I21" s="60"/>
      <c r="J21" s="45">
        <f t="shared" ref="J21:K21" si="5">+J20/J19*1000</f>
        <v>30.462115675597779</v>
      </c>
      <c r="K21" s="68">
        <f t="shared" si="5"/>
        <v>30.462115675597779</v>
      </c>
      <c r="L21" s="60"/>
      <c r="M21" s="45">
        <f t="shared" ref="M21:N21" si="6">+M20/M19*1000</f>
        <v>30.560877695908264</v>
      </c>
      <c r="N21" s="68">
        <f t="shared" si="6"/>
        <v>30.560900091823253</v>
      </c>
      <c r="O21" s="60"/>
      <c r="P21" s="45">
        <f t="shared" ref="P21:Q21" si="7">+P20/P19*1000</f>
        <v>31.166526517238374</v>
      </c>
      <c r="Q21" s="68">
        <f t="shared" si="7"/>
        <v>31.166517595258856</v>
      </c>
      <c r="R21" s="60"/>
      <c r="S21" s="45">
        <f t="shared" ref="S21:T21" si="8">+S20/S19*1000</f>
        <v>31.142225072138508</v>
      </c>
      <c r="T21" s="68">
        <f t="shared" si="8"/>
        <v>31.142212247515225</v>
      </c>
      <c r="U21" s="60"/>
      <c r="V21" s="45">
        <f t="shared" ref="V21:W21" si="9">+V20/V19*1000</f>
        <v>30.423417363670044</v>
      </c>
      <c r="W21" s="68">
        <f t="shared" si="9"/>
        <v>30.423417363670044</v>
      </c>
      <c r="X21" s="60"/>
      <c r="Y21" s="45" t="e">
        <f t="shared" ref="Y21" si="10">+Y20/Y19*1000</f>
        <v>#DIV/0!</v>
      </c>
      <c r="Z21" s="68" t="e">
        <f t="shared" ref="Z21:AC21" si="11">+Z20/Z19*1000</f>
        <v>#DIV/0!</v>
      </c>
      <c r="AA21" s="60"/>
      <c r="AB21" s="44" t="e">
        <f t="shared" si="11"/>
        <v>#DIV/0!</v>
      </c>
      <c r="AC21" s="60" t="e">
        <f t="shared" si="11"/>
        <v>#DIV/0!</v>
      </c>
      <c r="AD21" s="60"/>
      <c r="AE21" s="44" t="e">
        <f t="shared" ref="AE21:AF21" si="12">+AE20/AE19*1000</f>
        <v>#DIV/0!</v>
      </c>
      <c r="AF21" s="60" t="e">
        <f t="shared" si="12"/>
        <v>#DIV/0!</v>
      </c>
      <c r="AG21" s="60"/>
      <c r="AH21" s="44" t="e">
        <f t="shared" ref="AH21:AI21" si="13">+AH20/AH19*1000</f>
        <v>#DIV/0!</v>
      </c>
      <c r="AI21" s="60" t="e">
        <f t="shared" si="13"/>
        <v>#DIV/0!</v>
      </c>
      <c r="AJ21" s="60"/>
      <c r="AK21" s="44" t="e">
        <f t="shared" ref="AK21:AL21" si="14">+AK20/AK19*1000</f>
        <v>#DIV/0!</v>
      </c>
      <c r="AL21" s="60" t="e">
        <f t="shared" si="14"/>
        <v>#DIV/0!</v>
      </c>
      <c r="AM21" s="16"/>
      <c r="AN21" s="16"/>
      <c r="AO21" s="16"/>
      <c r="AP21" s="45">
        <f>+AP20/AP19*1000</f>
        <v>30.551671864485272</v>
      </c>
      <c r="AQ21" s="68">
        <f>+AQ20/AQ19*1000</f>
        <v>30.551696828486453</v>
      </c>
      <c r="AR21" s="60"/>
      <c r="AS21" s="45">
        <f>+AS20/AS19*1000</f>
        <v>30.551671864485272</v>
      </c>
      <c r="AT21" s="68">
        <f>+AT20/AT19*1000</f>
        <v>30.551696828486453</v>
      </c>
      <c r="AU21" s="60"/>
    </row>
    <row r="22" spans="2:47">
      <c r="B22" s="18" t="s">
        <v>21</v>
      </c>
      <c r="C22" s="16"/>
      <c r="D22" s="94">
        <f>+D19/D18</f>
        <v>9.1017926734216686E-2</v>
      </c>
      <c r="E22" s="46">
        <f>+E19/E18</f>
        <v>9.1017926734216686E-2</v>
      </c>
      <c r="F22" s="61"/>
      <c r="G22" s="94">
        <f>+G19/G18</f>
        <v>8.9295225637671685E-2</v>
      </c>
      <c r="H22" s="46">
        <f>+H19/H18</f>
        <v>8.9295225637671685E-2</v>
      </c>
      <c r="I22" s="61"/>
      <c r="J22" s="94">
        <f>+J19/J18</f>
        <v>9.2701335877862598E-2</v>
      </c>
      <c r="K22" s="46">
        <f>+K19/K18</f>
        <v>9.2701335877862598E-2</v>
      </c>
      <c r="L22" s="61"/>
      <c r="M22" s="94">
        <f>+M19/M18</f>
        <v>8.8575679428684786E-2</v>
      </c>
      <c r="N22" s="46">
        <f>+N19/N18</f>
        <v>8.8575679428684786E-2</v>
      </c>
      <c r="O22" s="61"/>
      <c r="P22" s="94">
        <f>+P19/P18</f>
        <v>8.3826823476618739E-2</v>
      </c>
      <c r="Q22" s="46">
        <f>+Q19/Q18</f>
        <v>8.3826823476618739E-2</v>
      </c>
      <c r="R22" s="61"/>
      <c r="S22" s="94">
        <f>+S19/S18</f>
        <v>8.7192724155282633E-2</v>
      </c>
      <c r="T22" s="46">
        <f>+T19/T18</f>
        <v>8.7192724155282633E-2</v>
      </c>
      <c r="U22" s="61"/>
      <c r="V22" s="94">
        <f>+V19/V18</f>
        <v>8.5383606966727005E-2</v>
      </c>
      <c r="W22" s="46">
        <f>+W19/W18</f>
        <v>8.5383606966727005E-2</v>
      </c>
      <c r="X22" s="61"/>
      <c r="Y22" s="94" t="e">
        <f>+Y19/Y18</f>
        <v>#DIV/0!</v>
      </c>
      <c r="Z22" s="46" t="e">
        <f>+Z19/Z18</f>
        <v>#DIV/0!</v>
      </c>
      <c r="AA22" s="61"/>
      <c r="AB22" s="46" t="e">
        <f>+AB19/AB18</f>
        <v>#DIV/0!</v>
      </c>
      <c r="AC22" s="46" t="e">
        <f>+AC19/AC18</f>
        <v>#DIV/0!</v>
      </c>
      <c r="AD22" s="61"/>
      <c r="AE22" s="46" t="e">
        <f>+AE19/AE18</f>
        <v>#DIV/0!</v>
      </c>
      <c r="AF22" s="46" t="e">
        <f>+AF19/AF18</f>
        <v>#DIV/0!</v>
      </c>
      <c r="AG22" s="61"/>
      <c r="AH22" s="46" t="e">
        <f>+AH19/AH18</f>
        <v>#DIV/0!</v>
      </c>
      <c r="AI22" s="46" t="e">
        <f>+AI19/AI18</f>
        <v>#DIV/0!</v>
      </c>
      <c r="AJ22" s="61"/>
      <c r="AK22" s="46" t="e">
        <f>+AK19/AK18</f>
        <v>#DIV/0!</v>
      </c>
      <c r="AL22" s="46" t="e">
        <f>+AL19/AL18</f>
        <v>#DIV/0!</v>
      </c>
      <c r="AM22" s="16"/>
      <c r="AN22" s="16"/>
      <c r="AO22" s="16"/>
      <c r="AP22" s="47">
        <f>+AP19/AP18</f>
        <v>8.7980010185892535E-2</v>
      </c>
      <c r="AQ22" s="46">
        <f>+AQ19/AQ18</f>
        <v>8.7980010185892535E-2</v>
      </c>
      <c r="AR22" s="61"/>
      <c r="AS22" s="47">
        <f>+AS19/AS18</f>
        <v>8.7980010185892535E-2</v>
      </c>
      <c r="AT22" s="46">
        <f>+AT19/AT18</f>
        <v>8.7980010185892535E-2</v>
      </c>
      <c r="AU22" s="61"/>
    </row>
    <row r="23" spans="2:47">
      <c r="B23" s="10" t="s">
        <v>28</v>
      </c>
      <c r="C23" s="10"/>
      <c r="D23" s="49">
        <f>+D20*1000/(D18*D21)*100</f>
        <v>9.1017926734216683</v>
      </c>
      <c r="E23" s="48">
        <f>+E20*1000/(E18*E21)*100</f>
        <v>9.1017926734216683</v>
      </c>
      <c r="F23" s="62"/>
      <c r="G23" s="49">
        <f>+G20*1000/(G18*G21)*100</f>
        <v>8.9295225637671685</v>
      </c>
      <c r="H23" s="48">
        <f>+H20*1000/(H18*H21)*100</f>
        <v>8.9295225637671649</v>
      </c>
      <c r="I23" s="62"/>
      <c r="J23" s="49">
        <f>+J20*1000/(J18*J21)*100</f>
        <v>9.2701335877862601</v>
      </c>
      <c r="K23" s="48">
        <f>+K20*1000/(K18*K21)*100</f>
        <v>9.2701335877862601</v>
      </c>
      <c r="L23" s="62"/>
      <c r="M23" s="49">
        <f>+M20*1000/(M18*M21)*100</f>
        <v>8.8575679428684779</v>
      </c>
      <c r="N23" s="48">
        <f>+N20*1000/(N18*N21)*100</f>
        <v>8.8575679428684779</v>
      </c>
      <c r="O23" s="62"/>
      <c r="P23" s="49">
        <f>+P20*1000/(P18*P21)*100</f>
        <v>8.3826823476618735</v>
      </c>
      <c r="Q23" s="48">
        <f>+Q20*1000/(Q18*Q21)*100</f>
        <v>8.3826823476618753</v>
      </c>
      <c r="R23" s="62"/>
      <c r="S23" s="49">
        <f>+S20*1000/(S18*S21)*100</f>
        <v>8.7192724155282626</v>
      </c>
      <c r="T23" s="48">
        <f>+T20*1000/(T18*T21)*100</f>
        <v>8.7192724155282626</v>
      </c>
      <c r="U23" s="62"/>
      <c r="V23" s="49">
        <f>+V20*1000/(V18*V21)*100</f>
        <v>8.5383606966727008</v>
      </c>
      <c r="W23" s="48">
        <f>+W20*1000/(W18*W21)*100</f>
        <v>8.5383606966727008</v>
      </c>
      <c r="X23" s="62"/>
      <c r="Y23" s="49" t="e">
        <f>+Y20*1000/(Y18*Y21)*100</f>
        <v>#DIV/0!</v>
      </c>
      <c r="Z23" s="48" t="e">
        <f>+Z20*1000/(Z18*Z21)*100</f>
        <v>#DIV/0!</v>
      </c>
      <c r="AA23" s="62"/>
      <c r="AB23" s="48" t="e">
        <f>+AB20*1000/(AB18*AB21)*100</f>
        <v>#DIV/0!</v>
      </c>
      <c r="AC23" s="48" t="e">
        <f>+AC20*1000/(AC18*AC21)*100</f>
        <v>#DIV/0!</v>
      </c>
      <c r="AD23" s="62"/>
      <c r="AE23" s="48" t="e">
        <f>+AE20*1000/(AE18*AE21)*100</f>
        <v>#DIV/0!</v>
      </c>
      <c r="AF23" s="48" t="e">
        <f>+AF20*1000/(AF18*AF21)*100</f>
        <v>#DIV/0!</v>
      </c>
      <c r="AG23" s="62"/>
      <c r="AH23" s="48" t="e">
        <f>+AH20*1000/(AH18*AH21)*100</f>
        <v>#DIV/0!</v>
      </c>
      <c r="AI23" s="48" t="e">
        <f>+AI20*1000/(AI18*AI21)*100</f>
        <v>#DIV/0!</v>
      </c>
      <c r="AJ23" s="62"/>
      <c r="AK23" s="48" t="e">
        <f>+AK20*1000/(AK18*AK21)*100</f>
        <v>#DIV/0!</v>
      </c>
      <c r="AL23" s="48" t="e">
        <f>+AL20*1000/(AL18*AL21)*100</f>
        <v>#DIV/0!</v>
      </c>
      <c r="AM23" s="16"/>
      <c r="AN23" s="16"/>
      <c r="AO23" s="16"/>
      <c r="AP23" s="49">
        <f>+AP20/(AP18*AP21)*1000*100</f>
        <v>8.7980010185892557</v>
      </c>
      <c r="AQ23" s="48">
        <f>+AQ20*1000/(AQ18*AQ21)*100</f>
        <v>8.7980010185892539</v>
      </c>
      <c r="AR23" s="62"/>
      <c r="AS23" s="49">
        <f>+AS20/(AS18*AS21)*1000*100</f>
        <v>8.7980010185892539</v>
      </c>
      <c r="AT23" s="48">
        <f>+AT20*1000/(AT18*AT21)*100</f>
        <v>8.7980010185892539</v>
      </c>
      <c r="AU23" s="62"/>
    </row>
    <row r="24" spans="2:47">
      <c r="B24" s="18" t="s">
        <v>38</v>
      </c>
      <c r="C24" s="10"/>
      <c r="D24" s="49">
        <f>+D20/D18*1000</f>
        <v>2.792517537022603</v>
      </c>
      <c r="E24" s="48">
        <f>+E20/E18*1000</f>
        <v>2.7925367627955318</v>
      </c>
      <c r="F24" s="62"/>
      <c r="G24" s="49">
        <f>+G20/G18*1000</f>
        <v>2.5938862001308043</v>
      </c>
      <c r="H24" s="48">
        <f>+H20/H18*1000</f>
        <v>2.5938854153041202</v>
      </c>
      <c r="I24" s="62"/>
      <c r="J24" s="49">
        <f>+J20/J18*1000</f>
        <v>2.8238788167938931</v>
      </c>
      <c r="K24" s="48">
        <f>+K20/K18*1000</f>
        <v>2.8238788167938931</v>
      </c>
      <c r="L24" s="62"/>
      <c r="M24" s="49">
        <f>+M20/M18*1000</f>
        <v>2.7069505058520131</v>
      </c>
      <c r="N24" s="48">
        <f>+N20/N18*1000</f>
        <v>2.7069524895854</v>
      </c>
      <c r="O24" s="62"/>
      <c r="P24" s="49">
        <f>+P20/P18*1000</f>
        <v>2.6125909167398986</v>
      </c>
      <c r="Q24" s="48">
        <f>+Q20/Q18*1000</f>
        <v>2.6125901688386968</v>
      </c>
      <c r="R24" s="62"/>
      <c r="S24" s="49">
        <f>+S20/S18*1000</f>
        <v>2.7153754402966994</v>
      </c>
      <c r="T24" s="48">
        <f>+T20/T18*1000</f>
        <v>2.7153743220828597</v>
      </c>
      <c r="U24" s="62"/>
      <c r="V24" s="49">
        <f>+V20/V18*1000</f>
        <v>2.5976611107643008</v>
      </c>
      <c r="W24" s="48">
        <f>+W20/W18*1000</f>
        <v>2.5976611107643008</v>
      </c>
      <c r="X24" s="62"/>
      <c r="Y24" s="49" t="e">
        <f>+Y20/Y18*1000</f>
        <v>#DIV/0!</v>
      </c>
      <c r="Z24" s="48" t="e">
        <f>+Z20/Z18*1000</f>
        <v>#DIV/0!</v>
      </c>
      <c r="AA24" s="62"/>
      <c r="AB24" s="48" t="e">
        <f>+AB20/AB18*1000</f>
        <v>#DIV/0!</v>
      </c>
      <c r="AC24" s="48" t="e">
        <f>+AC20/AC18*1000</f>
        <v>#DIV/0!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2.6879364018334608</v>
      </c>
      <c r="AQ24" s="48">
        <f>+AQ20/AQ18*1000</f>
        <v>2.6879385981665389</v>
      </c>
      <c r="AR24" s="62"/>
      <c r="AS24" s="48">
        <f t="shared" ref="AS24:AT24" si="15">+AS20/AS18*1000</f>
        <v>2.6879364018334604</v>
      </c>
      <c r="AT24" s="48">
        <f t="shared" si="15"/>
        <v>2.6879385981665389</v>
      </c>
      <c r="AU24" s="62"/>
    </row>
    <row r="25" spans="2:47" ht="7.5" customHeight="1">
      <c r="B25" s="16"/>
      <c r="D25" s="95"/>
      <c r="E25" s="73"/>
      <c r="F25" s="63"/>
      <c r="G25" s="95"/>
      <c r="H25" s="73"/>
      <c r="I25" s="63"/>
      <c r="J25" s="95"/>
      <c r="K25" s="73"/>
      <c r="L25" s="63"/>
      <c r="M25" s="95"/>
      <c r="N25" s="73"/>
      <c r="O25" s="63"/>
      <c r="P25" s="95"/>
      <c r="Q25" s="73"/>
      <c r="R25" s="63"/>
      <c r="S25" s="95"/>
      <c r="T25" s="73"/>
      <c r="U25" s="63"/>
      <c r="V25" s="95"/>
      <c r="W25" s="73"/>
      <c r="X25" s="63"/>
      <c r="Y25" s="95"/>
      <c r="Z25" s="73"/>
      <c r="AA25" s="63"/>
      <c r="AC25" s="63"/>
      <c r="AD25" s="63"/>
      <c r="AF25" s="63"/>
      <c r="AG25" s="63"/>
      <c r="AI25" s="63"/>
      <c r="AJ25" s="63"/>
      <c r="AQ25" s="63"/>
      <c r="AR25" s="63"/>
      <c r="AT25" s="63"/>
      <c r="AU25" s="63"/>
    </row>
    <row r="26" spans="2:47">
      <c r="B26" s="20" t="s">
        <v>35</v>
      </c>
      <c r="C26" s="19"/>
      <c r="D26" s="31">
        <f>+D8/(1-D6/D5)</f>
        <v>363.52048986852498</v>
      </c>
      <c r="E26" s="73"/>
      <c r="F26" s="63"/>
      <c r="G26" s="31">
        <f>+G8/(1-G6/G5)</f>
        <v>377.25830867829831</v>
      </c>
      <c r="H26" s="73"/>
      <c r="I26" s="63"/>
      <c r="J26" s="98" t="s">
        <v>62</v>
      </c>
      <c r="K26" s="73"/>
      <c r="L26" s="63"/>
      <c r="M26" s="31">
        <f>+M8/(1-M6/M5)</f>
        <v>374.17456382238225</v>
      </c>
      <c r="N26" s="73"/>
      <c r="O26" s="63"/>
      <c r="P26" s="31">
        <f>+P8/(1-P6/P5)</f>
        <v>523.6268910840854</v>
      </c>
      <c r="Q26" s="73"/>
      <c r="R26" s="63"/>
      <c r="S26" s="31">
        <f>+S8/(1-S6/S5)</f>
        <v>437.96041896488458</v>
      </c>
      <c r="T26" s="73"/>
      <c r="U26" s="63"/>
      <c r="V26" s="31">
        <f>+V8/(1-V6/V5)</f>
        <v>1296.2421397748014</v>
      </c>
      <c r="W26" s="73"/>
      <c r="X26" s="63"/>
      <c r="Y26" s="31" t="e">
        <f>+Y8/(1-Y6/Y5)</f>
        <v>#DIV/0!</v>
      </c>
      <c r="Z26" s="73"/>
      <c r="AA26" s="63"/>
      <c r="AB26" s="21" t="e">
        <f>+AB8/(1-AB6/AB5)</f>
        <v>#DIV/0!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4055.6629852140618</v>
      </c>
      <c r="AQ26" s="69"/>
      <c r="AR26" s="63"/>
      <c r="AS26" s="31">
        <f>+AS8/(1-AS6/AS5)</f>
        <v>579.38042645915175</v>
      </c>
      <c r="AT26" s="69"/>
      <c r="AU26" s="63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5748031496062992" right="0.15748031496062992" top="0.59055118110236227" bottom="0.78740157480314965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2014</vt:lpstr>
      <vt:lpstr>2015</vt:lpstr>
      <vt:lpstr>'2014'!Oblast_tisku</vt:lpstr>
      <vt:lpstr>'2015'!Oblast_tisku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ZH</cp:lastModifiedBy>
  <cp:lastPrinted>2014-11-04T11:28:31Z</cp:lastPrinted>
  <dcterms:created xsi:type="dcterms:W3CDTF">2014-10-14T11:21:48Z</dcterms:created>
  <dcterms:modified xsi:type="dcterms:W3CDTF">2015-08-24T13:44:55Z</dcterms:modified>
</cp:coreProperties>
</file>