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4" r:id="rId3"/>
    <sheet name="2015" sheetId="1" r:id="rId4"/>
  </sheets>
  <definedNames>
    <definedName name="_xlnm.Print_Area" localSheetId="2">'2014'!$B$1:$AD$25</definedName>
    <definedName name="_xlnm.Print_Area" localSheetId="3">'2015'!$B$1:$AD$25</definedName>
    <definedName name="_xlnm.Print_Area" localSheetId="1">CoM!$A$1:$I$25</definedName>
    <definedName name="_xlnm.Print_Area" localSheetId="0">CoY!$A$1:$I$25</definedName>
  </definedNames>
  <calcPr calcId="125725"/>
</workbook>
</file>

<file path=xl/calcChain.xml><?xml version="1.0" encoding="utf-8"?>
<calcChain xmlns="http://schemas.openxmlformats.org/spreadsheetml/2006/main">
  <c r="R8" i="1"/>
  <c r="R5"/>
  <c r="R5" i="4" l="1"/>
  <c r="F18" i="6"/>
  <c r="F12"/>
  <c r="F11"/>
  <c r="F8"/>
  <c r="F6"/>
  <c r="F5"/>
  <c r="D18"/>
  <c r="D12"/>
  <c r="D11"/>
  <c r="D8"/>
  <c r="D6"/>
  <c r="D5"/>
  <c r="P8" i="4"/>
  <c r="P5"/>
  <c r="P8" i="1" l="1"/>
  <c r="P5"/>
  <c r="N5" l="1"/>
  <c r="N5" i="4"/>
  <c r="L8"/>
  <c r="L5"/>
  <c r="L8" i="1" l="1"/>
  <c r="L5"/>
  <c r="J5" i="4" l="1"/>
  <c r="J5" i="1" l="1"/>
  <c r="H8"/>
  <c r="H5"/>
  <c r="H8" i="4" l="1"/>
  <c r="H5"/>
  <c r="F9" i="6" l="1"/>
  <c r="F13" i="4"/>
  <c r="F5"/>
  <c r="F5" i="1" l="1"/>
  <c r="D5" i="4"/>
  <c r="D5" i="1" l="1"/>
  <c r="AC18" i="4" l="1"/>
  <c r="AC12"/>
  <c r="AC11"/>
  <c r="AE11" s="1"/>
  <c r="AC8"/>
  <c r="AC6"/>
  <c r="AC5"/>
  <c r="D5" i="5" s="1"/>
  <c r="D22" i="4"/>
  <c r="D21"/>
  <c r="D20"/>
  <c r="D15"/>
  <c r="D19"/>
  <c r="F22"/>
  <c r="F21"/>
  <c r="F20"/>
  <c r="F15"/>
  <c r="F19"/>
  <c r="H22"/>
  <c r="H21"/>
  <c r="H20"/>
  <c r="H15"/>
  <c r="H19"/>
  <c r="J22"/>
  <c r="J21"/>
  <c r="J20"/>
  <c r="J15"/>
  <c r="J19"/>
  <c r="L22"/>
  <c r="L21"/>
  <c r="L20"/>
  <c r="L15"/>
  <c r="L19"/>
  <c r="N22"/>
  <c r="N21"/>
  <c r="N20"/>
  <c r="N15"/>
  <c r="N19"/>
  <c r="R22"/>
  <c r="R21"/>
  <c r="R20"/>
  <c r="R15"/>
  <c r="R19"/>
  <c r="AC18" i="1"/>
  <c r="AC12"/>
  <c r="AC11"/>
  <c r="AE11" s="1"/>
  <c r="AC8"/>
  <c r="AC6"/>
  <c r="AC5"/>
  <c r="E8"/>
  <c r="E6"/>
  <c r="E5"/>
  <c r="G8"/>
  <c r="G6"/>
  <c r="G5"/>
  <c r="I8"/>
  <c r="I6"/>
  <c r="I5"/>
  <c r="K8"/>
  <c r="K6"/>
  <c r="K5"/>
  <c r="M8"/>
  <c r="M6"/>
  <c r="M5"/>
  <c r="D22"/>
  <c r="D20"/>
  <c r="D15"/>
  <c r="D14"/>
  <c r="D21"/>
  <c r="D19"/>
  <c r="F22"/>
  <c r="F20"/>
  <c r="F15"/>
  <c r="F21"/>
  <c r="F19"/>
  <c r="H22"/>
  <c r="H20"/>
  <c r="H15"/>
  <c r="H14"/>
  <c r="H21"/>
  <c r="H19"/>
  <c r="J22"/>
  <c r="J20"/>
  <c r="J15"/>
  <c r="J21"/>
  <c r="J19"/>
  <c r="L22"/>
  <c r="L20"/>
  <c r="L15"/>
  <c r="L21"/>
  <c r="L19"/>
  <c r="O8"/>
  <c r="O6"/>
  <c r="O5"/>
  <c r="R22"/>
  <c r="R21"/>
  <c r="R20"/>
  <c r="R15"/>
  <c r="R19"/>
  <c r="N22"/>
  <c r="N20"/>
  <c r="N15"/>
  <c r="N21"/>
  <c r="N19"/>
  <c r="Z21" i="4"/>
  <c r="Z21" i="1"/>
  <c r="Z20"/>
  <c r="Z19"/>
  <c r="Z15"/>
  <c r="Z14"/>
  <c r="Z13"/>
  <c r="AA6"/>
  <c r="AA5"/>
  <c r="AA8" i="4"/>
  <c r="Z25" i="1"/>
  <c r="Z20" i="4"/>
  <c r="E5" l="1"/>
  <c r="D7"/>
  <c r="E8"/>
  <c r="D14"/>
  <c r="D25"/>
  <c r="E6"/>
  <c r="D9"/>
  <c r="D13"/>
  <c r="G5"/>
  <c r="F7"/>
  <c r="G8"/>
  <c r="F14"/>
  <c r="F25"/>
  <c r="G6"/>
  <c r="F9"/>
  <c r="G9" s="1"/>
  <c r="I5"/>
  <c r="H7"/>
  <c r="I8"/>
  <c r="H14"/>
  <c r="H25"/>
  <c r="I6"/>
  <c r="H9"/>
  <c r="I9" s="1"/>
  <c r="H13"/>
  <c r="Z7"/>
  <c r="Z13"/>
  <c r="Z15"/>
  <c r="Z19"/>
  <c r="AA5"/>
  <c r="R13"/>
  <c r="Z9"/>
  <c r="AA9" s="1"/>
  <c r="Z14"/>
  <c r="Z16"/>
  <c r="Z22"/>
  <c r="Z25"/>
  <c r="AA6"/>
  <c r="R7"/>
  <c r="K5"/>
  <c r="J7"/>
  <c r="K8"/>
  <c r="J14"/>
  <c r="J25"/>
  <c r="K6"/>
  <c r="J9"/>
  <c r="K9" s="1"/>
  <c r="J13"/>
  <c r="M5"/>
  <c r="L7"/>
  <c r="M8"/>
  <c r="L14"/>
  <c r="L25"/>
  <c r="M6"/>
  <c r="L9"/>
  <c r="M9" s="1"/>
  <c r="L13"/>
  <c r="O5"/>
  <c r="N7"/>
  <c r="O8"/>
  <c r="N14"/>
  <c r="N25"/>
  <c r="O6"/>
  <c r="N9"/>
  <c r="O9" s="1"/>
  <c r="N13"/>
  <c r="R9"/>
  <c r="R14"/>
  <c r="R16"/>
  <c r="R25"/>
  <c r="AA9" i="1"/>
  <c r="D9"/>
  <c r="D25"/>
  <c r="D7"/>
  <c r="D13"/>
  <c r="F9"/>
  <c r="G9" s="1"/>
  <c r="F14"/>
  <c r="F25"/>
  <c r="F7"/>
  <c r="G7" s="1"/>
  <c r="F13"/>
  <c r="H9"/>
  <c r="I9" s="1"/>
  <c r="H25"/>
  <c r="H7"/>
  <c r="H13"/>
  <c r="J7"/>
  <c r="J14"/>
  <c r="J25"/>
  <c r="J9"/>
  <c r="K9" s="1"/>
  <c r="J13"/>
  <c r="L7"/>
  <c r="M7" s="1"/>
  <c r="L14"/>
  <c r="L25"/>
  <c r="L9"/>
  <c r="M9" s="1"/>
  <c r="L13"/>
  <c r="R9"/>
  <c r="R14"/>
  <c r="R25"/>
  <c r="R7"/>
  <c r="F7" i="6" s="1"/>
  <c r="R13" i="1"/>
  <c r="N7"/>
  <c r="N14"/>
  <c r="N25"/>
  <c r="N9"/>
  <c r="O9" s="1"/>
  <c r="N13"/>
  <c r="AA8"/>
  <c r="Z22"/>
  <c r="Z7"/>
  <c r="Y8" i="4"/>
  <c r="Y6"/>
  <c r="Y5"/>
  <c r="X22"/>
  <c r="X21"/>
  <c r="X20"/>
  <c r="X15"/>
  <c r="X19"/>
  <c r="Y5" i="1"/>
  <c r="Y8"/>
  <c r="X22"/>
  <c r="X21"/>
  <c r="X20"/>
  <c r="X15"/>
  <c r="X7"/>
  <c r="X23" s="1"/>
  <c r="R23" i="4" l="1"/>
  <c r="D7" i="6"/>
  <c r="O7" i="1"/>
  <c r="K7"/>
  <c r="I7"/>
  <c r="E9" i="4"/>
  <c r="D23"/>
  <c r="E7"/>
  <c r="D16"/>
  <c r="F23"/>
  <c r="G7"/>
  <c r="F16"/>
  <c r="H23"/>
  <c r="I7"/>
  <c r="H16"/>
  <c r="AA7"/>
  <c r="Z23"/>
  <c r="J23"/>
  <c r="K7"/>
  <c r="J16"/>
  <c r="L23"/>
  <c r="M7"/>
  <c r="L16"/>
  <c r="N23"/>
  <c r="O7"/>
  <c r="N16"/>
  <c r="E7" i="1"/>
  <c r="E9"/>
  <c r="D23"/>
  <c r="D16"/>
  <c r="F23"/>
  <c r="F16"/>
  <c r="H23"/>
  <c r="H16"/>
  <c r="J23"/>
  <c r="J16"/>
  <c r="L23"/>
  <c r="L16"/>
  <c r="R23"/>
  <c r="R16"/>
  <c r="N23"/>
  <c r="N16"/>
  <c r="Z16"/>
  <c r="AA7"/>
  <c r="Z23"/>
  <c r="X7" i="4"/>
  <c r="Y7" s="1"/>
  <c r="X14"/>
  <c r="X25"/>
  <c r="X9"/>
  <c r="Y9" s="1"/>
  <c r="X13"/>
  <c r="Y6" i="1"/>
  <c r="X19"/>
  <c r="Y7"/>
  <c r="X14"/>
  <c r="X16"/>
  <c r="X25"/>
  <c r="X9"/>
  <c r="Y9" s="1"/>
  <c r="X13"/>
  <c r="W8" i="4"/>
  <c r="W8" i="1"/>
  <c r="W6"/>
  <c r="W5"/>
  <c r="V22"/>
  <c r="V21"/>
  <c r="V20"/>
  <c r="V15"/>
  <c r="V7"/>
  <c r="V23" s="1"/>
  <c r="V19"/>
  <c r="W5" i="4"/>
  <c r="V22"/>
  <c r="V21"/>
  <c r="V20"/>
  <c r="V15"/>
  <c r="U8" i="1"/>
  <c r="U6"/>
  <c r="U5"/>
  <c r="V19" i="4" l="1"/>
  <c r="X23"/>
  <c r="X16"/>
  <c r="W7" i="1"/>
  <c r="W6" i="4"/>
  <c r="V14" i="1"/>
  <c r="V16"/>
  <c r="V25"/>
  <c r="V9"/>
  <c r="W9" s="1"/>
  <c r="V13"/>
  <c r="V7" i="4"/>
  <c r="W7" s="1"/>
  <c r="V14"/>
  <c r="V25"/>
  <c r="V9"/>
  <c r="W9" s="1"/>
  <c r="V13"/>
  <c r="T22"/>
  <c r="T21"/>
  <c r="T20"/>
  <c r="T15"/>
  <c r="T14"/>
  <c r="U5" l="1"/>
  <c r="T25"/>
  <c r="T19"/>
  <c r="U6"/>
  <c r="V23"/>
  <c r="V16"/>
  <c r="U8"/>
  <c r="T13"/>
  <c r="T21" i="1"/>
  <c r="T20" l="1"/>
  <c r="T22"/>
  <c r="T15" l="1"/>
  <c r="T9" i="4"/>
  <c r="U9" s="1"/>
  <c r="P20"/>
  <c r="P20" i="1"/>
  <c r="P22" i="4"/>
  <c r="AE18"/>
  <c r="P22" i="1"/>
  <c r="P21"/>
  <c r="P19"/>
  <c r="F11" i="5"/>
  <c r="D11"/>
  <c r="D12"/>
  <c r="D8"/>
  <c r="AE18" i="1"/>
  <c r="F12" i="5"/>
  <c r="P15" i="4"/>
  <c r="P19" l="1"/>
  <c r="Q5"/>
  <c r="Q8"/>
  <c r="Q6"/>
  <c r="T25" i="1"/>
  <c r="T19"/>
  <c r="P9" i="4"/>
  <c r="AC9" s="1"/>
  <c r="AC14"/>
  <c r="D20" i="6"/>
  <c r="P14" i="4"/>
  <c r="T14" i="1"/>
  <c r="AC21"/>
  <c r="P13" i="4"/>
  <c r="F5" i="5"/>
  <c r="F13" s="1"/>
  <c r="AC20" i="4"/>
  <c r="AC22" i="1"/>
  <c r="AC20"/>
  <c r="T13"/>
  <c r="T9"/>
  <c r="U9" s="1"/>
  <c r="T7"/>
  <c r="AE9" i="4"/>
  <c r="T7"/>
  <c r="AC21"/>
  <c r="AC22"/>
  <c r="D15" i="5"/>
  <c r="P21" i="4"/>
  <c r="H18" i="6"/>
  <c r="D18" i="5"/>
  <c r="D22" s="1"/>
  <c r="E5" i="6"/>
  <c r="H11" i="5"/>
  <c r="I11"/>
  <c r="AE8" i="1"/>
  <c r="AE22" s="1"/>
  <c r="F8" i="5"/>
  <c r="I12"/>
  <c r="H12"/>
  <c r="AC15" i="1"/>
  <c r="AE12"/>
  <c r="AE20" s="1"/>
  <c r="F18" i="5"/>
  <c r="AC14" i="1"/>
  <c r="H11" i="6"/>
  <c r="I11"/>
  <c r="I18"/>
  <c r="D15"/>
  <c r="AE8" i="4"/>
  <c r="AE22" s="1"/>
  <c r="AE12"/>
  <c r="AE20" s="1"/>
  <c r="AC15"/>
  <c r="F15" i="5"/>
  <c r="P25" i="4"/>
  <c r="P7"/>
  <c r="S5"/>
  <c r="P15" i="1"/>
  <c r="P14"/>
  <c r="P13"/>
  <c r="Q8"/>
  <c r="Q5"/>
  <c r="P25"/>
  <c r="Q7" i="4" l="1"/>
  <c r="AC7"/>
  <c r="S9"/>
  <c r="Q9"/>
  <c r="AE6"/>
  <c r="AE21" s="1"/>
  <c r="AD9"/>
  <c r="G5" i="5"/>
  <c r="U7" i="1"/>
  <c r="AE6"/>
  <c r="AE21" s="1"/>
  <c r="D6" i="5"/>
  <c r="AC19" i="1"/>
  <c r="AE5"/>
  <c r="AE13" s="1"/>
  <c r="AC25"/>
  <c r="AC25" i="4"/>
  <c r="AD8"/>
  <c r="D22" i="6"/>
  <c r="AD6" i="4"/>
  <c r="AC13" i="1"/>
  <c r="F14" i="5"/>
  <c r="F22" i="6"/>
  <c r="AE5" i="4"/>
  <c r="AE19" s="1"/>
  <c r="AD5" i="1"/>
  <c r="F6" i="5"/>
  <c r="G6" s="1"/>
  <c r="T23" i="4"/>
  <c r="U7"/>
  <c r="T16"/>
  <c r="AD6" i="1"/>
  <c r="AC19" i="4"/>
  <c r="AD5"/>
  <c r="F13" i="6"/>
  <c r="AC13" i="4"/>
  <c r="AD8" i="1"/>
  <c r="T23"/>
  <c r="T16"/>
  <c r="F19" i="5"/>
  <c r="F20"/>
  <c r="D20"/>
  <c r="D14" i="6"/>
  <c r="D19"/>
  <c r="D21" i="5"/>
  <c r="D13" i="6"/>
  <c r="I5"/>
  <c r="F19"/>
  <c r="F22" i="5"/>
  <c r="AC23" i="4"/>
  <c r="P23"/>
  <c r="S6"/>
  <c r="E8" i="6"/>
  <c r="I18" i="5"/>
  <c r="H18"/>
  <c r="I8"/>
  <c r="H8"/>
  <c r="I15"/>
  <c r="H15"/>
  <c r="AE15" i="1"/>
  <c r="F14" i="6"/>
  <c r="G5"/>
  <c r="H5"/>
  <c r="F15"/>
  <c r="I15" s="1"/>
  <c r="AE15" i="4"/>
  <c r="G8" i="5"/>
  <c r="S8" i="4"/>
  <c r="P16"/>
  <c r="S8" i="1"/>
  <c r="P9"/>
  <c r="AC9" s="1"/>
  <c r="P7"/>
  <c r="Q6"/>
  <c r="S5"/>
  <c r="AC7" l="1"/>
  <c r="AE14" i="4"/>
  <c r="H22" i="6"/>
  <c r="AE14" i="1"/>
  <c r="H6" i="5"/>
  <c r="F21"/>
  <c r="H21" s="1"/>
  <c r="D25"/>
  <c r="I22" i="6"/>
  <c r="AE19" i="1"/>
  <c r="E5" i="5"/>
  <c r="D14"/>
  <c r="I14" s="1"/>
  <c r="AD7" i="4"/>
  <c r="H19" i="6"/>
  <c r="H14"/>
  <c r="F25" i="5"/>
  <c r="I25" s="1"/>
  <c r="I8" i="6"/>
  <c r="F9" i="5"/>
  <c r="I12" i="6"/>
  <c r="H8"/>
  <c r="AE25" i="4"/>
  <c r="AE25" i="1"/>
  <c r="I14" i="6"/>
  <c r="I6" i="5"/>
  <c r="F20" i="6"/>
  <c r="H20" s="1"/>
  <c r="H5" i="5"/>
  <c r="E8"/>
  <c r="AE13" i="4"/>
  <c r="G8" i="6"/>
  <c r="D9" i="5"/>
  <c r="E9" s="1"/>
  <c r="D7"/>
  <c r="D19"/>
  <c r="I19" s="1"/>
  <c r="H12" i="6"/>
  <c r="D13" i="5"/>
  <c r="E6"/>
  <c r="I5"/>
  <c r="F7"/>
  <c r="G7" s="1"/>
  <c r="H20"/>
  <c r="I20"/>
  <c r="I13" i="6"/>
  <c r="I19"/>
  <c r="D25"/>
  <c r="D21"/>
  <c r="H15"/>
  <c r="AE7" i="4"/>
  <c r="AE23" s="1"/>
  <c r="AC16"/>
  <c r="E6" i="6"/>
  <c r="D9"/>
  <c r="E9" s="1"/>
  <c r="AD7" i="1"/>
  <c r="P23"/>
  <c r="H13" i="6"/>
  <c r="F21"/>
  <c r="I21" i="5"/>
  <c r="AE9" i="1"/>
  <c r="AD9"/>
  <c r="H25" i="5"/>
  <c r="G9"/>
  <c r="S7" i="4"/>
  <c r="S9" i="1"/>
  <c r="Q9"/>
  <c r="Q7"/>
  <c r="P16"/>
  <c r="S6"/>
  <c r="F16" i="5" l="1"/>
  <c r="F23"/>
  <c r="H14"/>
  <c r="I20" i="6"/>
  <c r="H9" i="5"/>
  <c r="I9"/>
  <c r="D23"/>
  <c r="E7"/>
  <c r="H19"/>
  <c r="I7"/>
  <c r="I13"/>
  <c r="H13"/>
  <c r="D16"/>
  <c r="I16" s="1"/>
  <c r="F23" i="6"/>
  <c r="H7" i="5"/>
  <c r="AE7" i="1"/>
  <c r="AC23"/>
  <c r="E7" i="6"/>
  <c r="D23"/>
  <c r="H21"/>
  <c r="I21"/>
  <c r="D16"/>
  <c r="AE16" i="4"/>
  <c r="AC16" i="1"/>
  <c r="I22" i="5"/>
  <c r="H22"/>
  <c r="F16" i="6"/>
  <c r="H6"/>
  <c r="I6"/>
  <c r="G6"/>
  <c r="F25"/>
  <c r="S7" i="1"/>
  <c r="H16" i="5" l="1"/>
  <c r="I23" i="6"/>
  <c r="H23" i="5"/>
  <c r="I23"/>
  <c r="H23" i="6"/>
  <c r="G7"/>
  <c r="H7"/>
  <c r="I7"/>
  <c r="AE16" i="1"/>
  <c r="AE23"/>
  <c r="I16" i="6"/>
  <c r="H16"/>
  <c r="H25"/>
  <c r="I25"/>
  <c r="G9"/>
  <c r="H9"/>
  <c r="I9"/>
</calcChain>
</file>

<file path=xl/sharedStrings.xml><?xml version="1.0" encoding="utf-8"?>
<sst xmlns="http://schemas.openxmlformats.org/spreadsheetml/2006/main" count="232" uniqueCount="65">
  <si>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</si>
  <si>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</si>
  <si>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</si>
  <si>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</si>
  <si>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</si>
  <si>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</si>
  <si>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</si>
  <si>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</si>
  <si>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</si>
  <si>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</si>
  <si>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</si>
  <si>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</si>
  <si>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</si>
  <si>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</si>
  <si>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</si>
  <si>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</si>
  <si>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</si>
  <si>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</si>
  <si>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</si>
  <si>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</si>
  <si>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</si>
  <si>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</si>
  <si>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účetnictví</t>
  </si>
  <si>
    <t>index</t>
  </si>
  <si>
    <t>hodnota</t>
  </si>
  <si>
    <t>počet měsíců</t>
  </si>
  <si>
    <t>BOD ZLOMU 9401</t>
  </si>
  <si>
    <t>Tržby na kg</t>
  </si>
  <si>
    <t>Variabilní náklady na kg</t>
  </si>
  <si>
    <t>Fixní náklady na kg</t>
  </si>
  <si>
    <t>Přidaná hodnota / tržby</t>
  </si>
  <si>
    <t>Průměrné ON na osobu</t>
  </si>
  <si>
    <t>ON na kg</t>
  </si>
  <si>
    <t>výkony v kg prádla</t>
  </si>
  <si>
    <t>prádelna</t>
  </si>
  <si>
    <t>VN = prášky 50117006</t>
  </si>
  <si>
    <t>FN = 5+7-VN</t>
  </si>
  <si>
    <t>T=6+8</t>
  </si>
  <si>
    <t>ON=52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</si>
  <si>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</si>
  <si>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</si>
  <si>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</si>
  <si>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</si>
  <si>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</si>
  <si>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</si>
  <si>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</si>
  <si>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</si>
  <si>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</si>
  <si>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</si>
  <si>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</si>
  <si>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</si>
  <si>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srpen 2014</t>
  </si>
  <si>
    <t xml:space="preserve"> červenec 2014</t>
  </si>
  <si>
    <t xml:space="preserve"> červen 2014</t>
  </si>
  <si>
    <t xml:space="preserve"> květen 2014</t>
  </si>
  <si>
    <t xml:space="preserve"> duben 2014</t>
  </si>
  <si>
    <t xml:space="preserve"> březen 2014</t>
  </si>
  <si>
    <t xml:space="preserve"> únor 2014</t>
  </si>
  <si>
    <t xml:space="preserve"> leden 2014</t>
  </si>
  <si>
    <t>2015 - 2014</t>
  </si>
  <si>
    <t>2015/2014</t>
  </si>
  <si>
    <t>srpen 2014</t>
  </si>
  <si>
    <t>srpen 2015</t>
  </si>
  <si>
    <t xml:space="preserve"> 1 - 8 2014</t>
  </si>
  <si>
    <t xml:space="preserve"> 1 - 8 2015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</si>
</sst>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;[Red]#,##0"/>
    <numFmt numFmtId="166" formatCode="#,##0.00\ &quot;Kč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164" fontId="17" fillId="0" borderId="1" xfId="1" applyNumberFormat="1" applyFont="1" applyBorder="1"/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9" fillId="0" borderId="1" xfId="1" applyNumberFormat="1" applyFont="1" applyBorder="1"/>
    <xf numFmtId="0" fontId="8" fillId="0" borderId="1" xfId="0" applyFont="1" applyBorder="1"/>
    <xf numFmtId="164" fontId="18" fillId="0" borderId="1" xfId="1" applyNumberFormat="1" applyFont="1" applyBorder="1"/>
    <xf numFmtId="165" fontId="12" fillId="0" borderId="0" xfId="0" applyNumberFormat="1" applyFont="1"/>
    <xf numFmtId="164" fontId="14" fillId="0" borderId="1" xfId="0" applyNumberFormat="1" applyFont="1" applyBorder="1"/>
    <xf numFmtId="0" fontId="17" fillId="0" borderId="0" xfId="1" applyNumberFormat="1" applyFont="1" applyBorder="1"/>
    <xf numFmtId="0" fontId="20" fillId="0" borderId="0" xfId="0" applyFont="1"/>
    <xf numFmtId="3" fontId="20" fillId="0" borderId="0" xfId="0" applyNumberFormat="1" applyFont="1"/>
    <xf numFmtId="0" fontId="21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23" fillId="0" borderId="0" xfId="0" applyFont="1"/>
    <xf numFmtId="0" fontId="23" fillId="0" borderId="0" xfId="0" applyFont="1" applyBorder="1"/>
    <xf numFmtId="0" fontId="24" fillId="0" borderId="0" xfId="0" applyFont="1" applyAlignment="1">
      <alignment horizontal="center"/>
    </xf>
    <xf numFmtId="10" fontId="25" fillId="0" borderId="0" xfId="1" applyNumberFormat="1" applyFont="1" applyAlignment="1">
      <alignment horizontal="center"/>
    </xf>
    <xf numFmtId="164" fontId="26" fillId="0" borderId="0" xfId="0" applyNumberFormat="1" applyFont="1"/>
    <xf numFmtId="164" fontId="27" fillId="0" borderId="0" xfId="0" applyNumberFormat="1" applyFont="1"/>
    <xf numFmtId="164" fontId="28" fillId="0" borderId="0" xfId="0" applyNumberFormat="1" applyFont="1"/>
    <xf numFmtId="0" fontId="15" fillId="0" borderId="0" xfId="0" applyFont="1"/>
    <xf numFmtId="3" fontId="27" fillId="0" borderId="0" xfId="0" applyNumberFormat="1" applyFont="1" applyAlignment="1"/>
    <xf numFmtId="3" fontId="29" fillId="0" borderId="0" xfId="0" applyNumberFormat="1" applyFont="1"/>
    <xf numFmtId="166" fontId="30" fillId="0" borderId="0" xfId="0" applyNumberFormat="1" applyFont="1" applyAlignment="1"/>
    <xf numFmtId="4" fontId="26" fillId="0" borderId="0" xfId="0" applyNumberFormat="1" applyFont="1"/>
    <xf numFmtId="0" fontId="31" fillId="0" borderId="0" xfId="0" applyFont="1"/>
    <xf numFmtId="164" fontId="26" fillId="0" borderId="0" xfId="0" applyNumberFormat="1" applyFont="1" applyBorder="1"/>
    <xf numFmtId="164" fontId="27" fillId="0" borderId="0" xfId="0" applyNumberFormat="1" applyFont="1" applyBorder="1"/>
    <xf numFmtId="164" fontId="15" fillId="0" borderId="0" xfId="0" applyNumberFormat="1" applyFont="1"/>
    <xf numFmtId="3" fontId="27" fillId="0" borderId="0" xfId="0" applyNumberFormat="1" applyFont="1"/>
    <xf numFmtId="166" fontId="26" fillId="0" borderId="0" xfId="0" applyNumberFormat="1" applyFont="1" applyBorder="1" applyAlignment="1"/>
    <xf numFmtId="2" fontId="26" fillId="0" borderId="0" xfId="0" applyNumberFormat="1" applyFont="1" applyBorder="1"/>
    <xf numFmtId="3" fontId="32" fillId="0" borderId="0" xfId="0" applyNumberFormat="1" applyFont="1" applyBorder="1"/>
    <xf numFmtId="0" fontId="15" fillId="0" borderId="0" xfId="0" applyFont="1" applyBorder="1"/>
    <xf numFmtId="3" fontId="27" fillId="0" borderId="0" xfId="0" applyNumberFormat="1" applyFont="1" applyBorder="1"/>
    <xf numFmtId="0" fontId="31" fillId="0" borderId="0" xfId="0" applyFont="1" applyBorder="1"/>
    <xf numFmtId="0" fontId="22" fillId="0" borderId="0" xfId="0" applyFont="1" applyBorder="1" applyAlignment="1">
      <alignment horizontal="center"/>
    </xf>
    <xf numFmtId="164" fontId="33" fillId="0" borderId="1" xfId="1" applyNumberFormat="1" applyFont="1" applyBorder="1"/>
    <xf numFmtId="165" fontId="26" fillId="0" borderId="0" xfId="0" applyNumberFormat="1" applyFont="1"/>
    <xf numFmtId="164" fontId="34" fillId="0" borderId="1" xfId="1" applyNumberFormat="1" applyFont="1" applyBorder="1"/>
    <xf numFmtId="165" fontId="27" fillId="0" borderId="0" xfId="0" applyNumberFormat="1" applyFont="1"/>
    <xf numFmtId="164" fontId="35" fillId="0" borderId="1" xfId="1" applyNumberFormat="1" applyFont="1" applyBorder="1"/>
    <xf numFmtId="0" fontId="15" fillId="0" borderId="1" xfId="0" applyFont="1" applyBorder="1"/>
    <xf numFmtId="0" fontId="33" fillId="0" borderId="0" xfId="1" applyNumberFormat="1" applyFont="1" applyBorder="1"/>
    <xf numFmtId="166" fontId="26" fillId="0" borderId="0" xfId="0" applyNumberFormat="1" applyFont="1" applyAlignment="1"/>
    <xf numFmtId="2" fontId="26" fillId="0" borderId="0" xfId="0" applyNumberFormat="1" applyFont="1"/>
    <xf numFmtId="0" fontId="27" fillId="0" borderId="0" xfId="0" applyFont="1"/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3" fontId="12" fillId="0" borderId="0" xfId="0" applyNumberFormat="1" applyFont="1" applyBorder="1"/>
    <xf numFmtId="4" fontId="9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 applyBorder="1"/>
    <xf numFmtId="49" fontId="4" fillId="0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11" fillId="0" borderId="0" xfId="0" applyNumberFormat="1" applyFont="1"/>
    <xf numFmtId="14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7" fillId="0" borderId="0" xfId="0" applyNumberFormat="1" applyFont="1" applyBorder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F4" sqref="F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4" t="s">
        <v>63</v>
      </c>
      <c r="E3" s="25"/>
      <c r="F3" s="4" t="s">
        <v>64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+'2014'!AC5</f>
        <v>21424.853470000002</v>
      </c>
      <c r="E5" s="59">
        <f>+D5/$D$5</f>
        <v>1</v>
      </c>
      <c r="F5" s="13">
        <f>+'2015'!AC5</f>
        <v>21724.866300000002</v>
      </c>
      <c r="G5" s="59">
        <f>+F5/$F$5</f>
        <v>1</v>
      </c>
      <c r="H5" s="30">
        <f t="shared" ref="H5:H23" si="0">+F5/D5</f>
        <v>1.0140030283250288</v>
      </c>
      <c r="I5" s="17">
        <f>+F5-D5</f>
        <v>300.01282999999967</v>
      </c>
      <c r="J5" s="18"/>
      <c r="K5" s="18"/>
    </row>
    <row r="6" spans="2:19">
      <c r="B6" s="7" t="s">
        <v>4</v>
      </c>
      <c r="C6" s="18"/>
      <c r="D6" s="11">
        <f>+'2014'!AC6</f>
        <v>699.60131999999999</v>
      </c>
      <c r="E6" s="60">
        <f>+D6/$D$5</f>
        <v>3.2653727176226048E-2</v>
      </c>
      <c r="F6" s="15">
        <f>+'2015'!AC6</f>
        <v>676.66098999999997</v>
      </c>
      <c r="G6" s="60">
        <f>+F6/$F$5</f>
        <v>3.1146842546966556E-2</v>
      </c>
      <c r="H6" s="40">
        <f t="shared" si="0"/>
        <v>0.96720942436186363</v>
      </c>
      <c r="I6" s="43">
        <f>+F6-D6</f>
        <v>-22.940330000000017</v>
      </c>
      <c r="J6" s="18"/>
      <c r="K6" s="18"/>
    </row>
    <row r="7" spans="2:19">
      <c r="B7" s="10" t="s">
        <v>7</v>
      </c>
      <c r="C7" s="18"/>
      <c r="D7" s="8">
        <f>+D5-D6</f>
        <v>20725.25215</v>
      </c>
      <c r="E7" s="61">
        <f>+D7/$D$5</f>
        <v>0.96734627282377383</v>
      </c>
      <c r="F7" s="8">
        <f>+F5-F6</f>
        <v>21048.205310000001</v>
      </c>
      <c r="G7" s="61">
        <f>+F7/$F$5</f>
        <v>0.96885315745303346</v>
      </c>
      <c r="H7" s="42">
        <f t="shared" si="0"/>
        <v>1.0155825925620887</v>
      </c>
      <c r="I7" s="17">
        <f>+F7-D7</f>
        <v>322.95316000000093</v>
      </c>
      <c r="J7" s="18"/>
      <c r="K7" s="18"/>
    </row>
    <row r="8" spans="2:19">
      <c r="B8" s="7" t="s">
        <v>5</v>
      </c>
      <c r="C8" s="18"/>
      <c r="D8" s="11">
        <f>+'2014'!AC8</f>
        <v>19098.023840000002</v>
      </c>
      <c r="E8" s="60">
        <f>+D8/$D$5</f>
        <v>0.89139577391938163</v>
      </c>
      <c r="F8" s="15">
        <f>+'2015'!AC8</f>
        <v>18995.718670000002</v>
      </c>
      <c r="G8" s="60">
        <f>+F8/$F$5</f>
        <v>0.87437678131993846</v>
      </c>
      <c r="H8" s="40">
        <f t="shared" si="0"/>
        <v>0.99464315413693616</v>
      </c>
      <c r="I8" s="43">
        <f>+F8-D8</f>
        <v>-102.30516999999963</v>
      </c>
      <c r="J8" s="18"/>
      <c r="K8" s="18"/>
    </row>
    <row r="9" spans="2:19">
      <c r="B9" s="20" t="s">
        <v>15</v>
      </c>
      <c r="C9" s="18"/>
      <c r="D9" s="16">
        <f>+D5-D6-D8</f>
        <v>1627.2283099999986</v>
      </c>
      <c r="E9" s="59">
        <f>+D9/$D$5</f>
        <v>7.5950498904392205E-2</v>
      </c>
      <c r="F9" s="16">
        <f>+F5-F6-F8</f>
        <v>2052.4866399999992</v>
      </c>
      <c r="G9" s="59">
        <f>+F9/$F$5</f>
        <v>9.4476376133094966E-2</v>
      </c>
      <c r="H9" s="42">
        <f t="shared" si="0"/>
        <v>1.2613390680254333</v>
      </c>
      <c r="I9" s="17">
        <f>+F9-D9</f>
        <v>425.25833000000057</v>
      </c>
      <c r="J9" s="18"/>
      <c r="K9" s="18"/>
    </row>
    <row r="10" spans="2:19" ht="7.5" customHeight="1">
      <c r="B10" s="18"/>
      <c r="C10" s="18"/>
      <c r="D10" s="35"/>
      <c r="E10" s="62"/>
      <c r="F10" s="31"/>
      <c r="G10" s="62"/>
      <c r="H10" s="41"/>
      <c r="I10" s="18"/>
      <c r="J10" s="18"/>
      <c r="K10" s="18"/>
    </row>
    <row r="11" spans="2:19">
      <c r="B11" s="19" t="s">
        <v>18</v>
      </c>
      <c r="C11" s="18"/>
      <c r="D11" s="11">
        <f>+'2014'!AC11</f>
        <v>425</v>
      </c>
      <c r="E11" s="88"/>
      <c r="F11" s="15">
        <f>+'2015'!AC11</f>
        <v>426</v>
      </c>
      <c r="G11" s="62"/>
      <c r="H11" s="40">
        <f t="shared" si="0"/>
        <v>1.0023529411764707</v>
      </c>
      <c r="I11" s="43">
        <f t="shared" ref="I11:I16" si="1">+F11-D11</f>
        <v>1</v>
      </c>
      <c r="J11" s="18"/>
      <c r="K11" s="18"/>
    </row>
    <row r="12" spans="2:19">
      <c r="B12" s="19" t="s">
        <v>16</v>
      </c>
      <c r="C12" s="18"/>
      <c r="D12" s="11">
        <f>+'2014'!AC12</f>
        <v>8191.0632999999998</v>
      </c>
      <c r="E12" s="88"/>
      <c r="F12" s="15">
        <f>+'2015'!AC12</f>
        <v>8582.253560000001</v>
      </c>
      <c r="G12" s="62"/>
      <c r="H12" s="40">
        <f t="shared" si="0"/>
        <v>1.0477581781110155</v>
      </c>
      <c r="I12" s="43">
        <f t="shared" si="1"/>
        <v>391.19026000000122</v>
      </c>
      <c r="J12" s="18"/>
      <c r="K12" s="18"/>
    </row>
    <row r="13" spans="2:19">
      <c r="B13" s="20" t="s">
        <v>19</v>
      </c>
      <c r="C13" s="18"/>
      <c r="D13" s="36">
        <f>+D12/D5</f>
        <v>0.38231595429436555</v>
      </c>
      <c r="E13" s="62"/>
      <c r="F13" s="36">
        <f>+F12/F5</f>
        <v>0.39504287121895892</v>
      </c>
      <c r="G13" s="62"/>
      <c r="H13" s="30">
        <f t="shared" si="0"/>
        <v>1.0332890029349762</v>
      </c>
      <c r="I13" s="14">
        <f t="shared" si="1"/>
        <v>1.2726916924593379E-2</v>
      </c>
      <c r="J13" s="18"/>
      <c r="K13" s="18"/>
    </row>
    <row r="14" spans="2:19">
      <c r="B14" s="20" t="s">
        <v>17</v>
      </c>
      <c r="C14" s="18"/>
      <c r="D14" s="8">
        <f>+D5/D11</f>
        <v>50.411419929411771</v>
      </c>
      <c r="E14" s="62"/>
      <c r="F14" s="8">
        <f>+F5/F11</f>
        <v>50.997338732394368</v>
      </c>
      <c r="G14" s="62"/>
      <c r="H14" s="30">
        <f t="shared" si="0"/>
        <v>1.0116227395261437</v>
      </c>
      <c r="I14" s="17">
        <f t="shared" si="1"/>
        <v>0.58591880298259724</v>
      </c>
      <c r="J14" s="18"/>
      <c r="K14" s="18"/>
    </row>
    <row r="15" spans="2:19">
      <c r="B15" s="10" t="s">
        <v>31</v>
      </c>
      <c r="C15" s="18"/>
      <c r="D15" s="8">
        <f>+D12/D11</f>
        <v>19.273090117647058</v>
      </c>
      <c r="E15" s="62"/>
      <c r="F15" s="8">
        <f>+F12/F11</f>
        <v>20.146135117370893</v>
      </c>
      <c r="G15" s="62"/>
      <c r="H15" s="30">
        <f t="shared" si="0"/>
        <v>1.0452986518713181</v>
      </c>
      <c r="I15" s="17">
        <f t="shared" si="1"/>
        <v>0.87304499972383454</v>
      </c>
      <c r="J15" s="18"/>
      <c r="K15" s="18"/>
    </row>
    <row r="16" spans="2:19">
      <c r="B16" s="20" t="s">
        <v>20</v>
      </c>
      <c r="C16" s="18"/>
      <c r="D16" s="36">
        <f>+D12/D7</f>
        <v>0.39522140626887375</v>
      </c>
      <c r="E16" s="62"/>
      <c r="F16" s="36">
        <f>+F12/F7</f>
        <v>0.40774277111039831</v>
      </c>
      <c r="G16" s="62"/>
      <c r="H16" s="30">
        <f t="shared" si="0"/>
        <v>1.0316818994186923</v>
      </c>
      <c r="I16" s="14">
        <f t="shared" si="1"/>
        <v>1.2521364841524552E-2</v>
      </c>
      <c r="J16" s="18"/>
      <c r="K16" s="18"/>
    </row>
    <row r="17" spans="2:11" ht="7.5" customHeight="1">
      <c r="B17" s="7"/>
      <c r="C17" s="18"/>
      <c r="D17" s="35"/>
      <c r="E17" s="62"/>
      <c r="F17" s="31"/>
      <c r="G17" s="62"/>
      <c r="H17" s="41"/>
      <c r="I17" s="18"/>
      <c r="J17" s="18"/>
      <c r="K17" s="18"/>
    </row>
    <row r="18" spans="2:11">
      <c r="B18" s="19" t="s">
        <v>33</v>
      </c>
      <c r="C18" s="18"/>
      <c r="D18" s="11">
        <f>+'2014'!AC18</f>
        <v>710827</v>
      </c>
      <c r="E18" s="63"/>
      <c r="F18" s="15">
        <f>+'2015'!AC18</f>
        <v>721184.64</v>
      </c>
      <c r="G18" s="71"/>
      <c r="H18" s="40">
        <f t="shared" si="0"/>
        <v>1.0145712529208937</v>
      </c>
      <c r="I18" s="43">
        <f t="shared" ref="I18:I23" si="2">+F18-D18</f>
        <v>10357.640000000014</v>
      </c>
      <c r="J18" s="18"/>
      <c r="K18" s="18"/>
    </row>
    <row r="19" spans="2:11">
      <c r="B19" s="20" t="s">
        <v>27</v>
      </c>
      <c r="C19" s="18"/>
      <c r="D19" s="89">
        <f>+D5*1000/D18</f>
        <v>30.140742360658784</v>
      </c>
      <c r="E19" s="64"/>
      <c r="F19" s="89">
        <f>+F5*1000/F18</f>
        <v>30.12386162300961</v>
      </c>
      <c r="G19" s="71"/>
      <c r="H19" s="40">
        <f t="shared" si="0"/>
        <v>0.99943993623490812</v>
      </c>
      <c r="I19" s="43">
        <f t="shared" si="2"/>
        <v>-1.6880737649174193E-2</v>
      </c>
      <c r="J19" s="18"/>
      <c r="K19" s="18"/>
    </row>
    <row r="20" spans="2:11">
      <c r="B20" s="20" t="s">
        <v>32</v>
      </c>
      <c r="C20" s="18"/>
      <c r="D20" s="89">
        <f>+D12*1000/D18</f>
        <v>11.523286678755872</v>
      </c>
      <c r="E20" s="64"/>
      <c r="F20" s="89">
        <f>+F12*1000/F18</f>
        <v>11.900216787756323</v>
      </c>
      <c r="G20" s="71"/>
      <c r="H20" s="40">
        <f t="shared" si="0"/>
        <v>1.0327102952055642</v>
      </c>
      <c r="I20" s="43">
        <f t="shared" si="2"/>
        <v>0.3769301090004511</v>
      </c>
      <c r="J20" s="18"/>
      <c r="K20" s="18"/>
    </row>
    <row r="21" spans="2:11">
      <c r="B21" s="20" t="s">
        <v>28</v>
      </c>
      <c r="C21" s="18"/>
      <c r="D21" s="89">
        <f>+D6*1000/D18</f>
        <v>0.98420757793387137</v>
      </c>
      <c r="E21" s="64"/>
      <c r="F21" s="89">
        <f>+F6*1000/F18</f>
        <v>0.93826317487848876</v>
      </c>
      <c r="G21" s="71"/>
      <c r="H21" s="40">
        <f t="shared" si="0"/>
        <v>0.95331838111647871</v>
      </c>
      <c r="I21" s="43">
        <f t="shared" si="2"/>
        <v>-4.594440305538261E-2</v>
      </c>
      <c r="J21" s="18"/>
      <c r="K21" s="18"/>
    </row>
    <row r="22" spans="2:11">
      <c r="B22" s="20" t="s">
        <v>29</v>
      </c>
      <c r="C22" s="18"/>
      <c r="D22" s="89">
        <f>+D8*1000/D18</f>
        <v>26.867330363084125</v>
      </c>
      <c r="E22" s="65"/>
      <c r="F22" s="89">
        <f>+F8*1000/F18</f>
        <v>26.339605166854358</v>
      </c>
      <c r="G22" s="86"/>
      <c r="H22" s="30">
        <f t="shared" si="0"/>
        <v>0.98035810818945879</v>
      </c>
      <c r="I22" s="17">
        <f t="shared" si="2"/>
        <v>-0.52772519622976688</v>
      </c>
      <c r="J22" s="45"/>
      <c r="K22" s="17"/>
    </row>
    <row r="23" spans="2:11">
      <c r="B23" s="20" t="s">
        <v>30</v>
      </c>
      <c r="C23" s="18"/>
      <c r="D23" s="54">
        <f>+D7/D5</f>
        <v>0.96734627282377383</v>
      </c>
      <c r="E23" s="66"/>
      <c r="F23" s="54">
        <f>+F7/F5</f>
        <v>0.96885315745303346</v>
      </c>
      <c r="G23" s="87"/>
      <c r="H23" s="30">
        <f t="shared" si="0"/>
        <v>1.0015577510056051</v>
      </c>
      <c r="I23" s="17">
        <f t="shared" si="2"/>
        <v>1.5068846292596305E-3</v>
      </c>
      <c r="J23" s="18"/>
      <c r="K23" s="18"/>
    </row>
    <row r="24" spans="2:11" ht="7.5" customHeight="1">
      <c r="B24" s="18"/>
      <c r="E24" s="67"/>
      <c r="F24" s="12"/>
      <c r="G24" s="67"/>
      <c r="H24" s="41"/>
      <c r="I24" s="18"/>
    </row>
    <row r="25" spans="2:11">
      <c r="B25" s="22" t="s">
        <v>26</v>
      </c>
      <c r="C25" s="21"/>
      <c r="D25" s="23">
        <f>+D8/(1-D6/D5)</f>
        <v>19742.696464060475</v>
      </c>
      <c r="E25" s="67"/>
      <c r="F25" s="23">
        <f>+F8/(1-F6/F5)</f>
        <v>19606.395999097364</v>
      </c>
      <c r="G25" s="67"/>
      <c r="H25" s="44">
        <f>+F25/D25</f>
        <v>0.99309615759877423</v>
      </c>
      <c r="I25" s="23">
        <f>+F25-D25</f>
        <v>-136.30046496311115</v>
      </c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5748031496062992" right="0.2755905511811023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42" sqref="B4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95" t="s">
        <v>61</v>
      </c>
      <c r="E3" s="25"/>
      <c r="F3" s="95" t="s">
        <v>62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+'2014'!R5</f>
        <v>2217.72471</v>
      </c>
      <c r="E5" s="59">
        <f>+D5/$D$5</f>
        <v>1</v>
      </c>
      <c r="F5" s="13">
        <f>+'2015'!R5</f>
        <v>2414.6689999999999</v>
      </c>
      <c r="G5" s="59">
        <f>+F5/$F$5</f>
        <v>1</v>
      </c>
      <c r="H5" s="79">
        <f t="shared" ref="H5:H23" si="0">+F5/D5</f>
        <v>1.0888046605207371</v>
      </c>
      <c r="I5" s="80">
        <f>+F5-D5</f>
        <v>196.94428999999991</v>
      </c>
      <c r="J5" s="62"/>
      <c r="K5" s="62"/>
    </row>
    <row r="6" spans="2:19">
      <c r="B6" s="7" t="s">
        <v>4</v>
      </c>
      <c r="C6" s="18"/>
      <c r="D6" s="35">
        <f>+'2014'!R6</f>
        <v>91.866810000000001</v>
      </c>
      <c r="E6" s="60">
        <f>+D6/$D$5</f>
        <v>4.1423901526533476E-2</v>
      </c>
      <c r="F6" s="15">
        <f>+'2015'!R6</f>
        <v>0</v>
      </c>
      <c r="G6" s="60">
        <f>+F6/$F$5</f>
        <v>0</v>
      </c>
      <c r="H6" s="81">
        <f t="shared" si="0"/>
        <v>0</v>
      </c>
      <c r="I6" s="82">
        <f>+F6-D6</f>
        <v>-91.866810000000001</v>
      </c>
      <c r="J6" s="62"/>
      <c r="K6" s="62"/>
    </row>
    <row r="7" spans="2:19">
      <c r="B7" s="10" t="s">
        <v>7</v>
      </c>
      <c r="C7" s="18"/>
      <c r="D7" s="8">
        <f>+'2014'!R7</f>
        <v>2125.8579</v>
      </c>
      <c r="E7" s="61">
        <f>+D7/$D$5</f>
        <v>0.95857609847346659</v>
      </c>
      <c r="F7" s="13">
        <f>+'2015'!R7</f>
        <v>2414.6689999999999</v>
      </c>
      <c r="G7" s="61">
        <f>+F7/$F$5</f>
        <v>1</v>
      </c>
      <c r="H7" s="83">
        <f t="shared" si="0"/>
        <v>1.1358562583134084</v>
      </c>
      <c r="I7" s="80">
        <f>+F7-D7</f>
        <v>288.8110999999999</v>
      </c>
      <c r="J7" s="62"/>
      <c r="K7" s="62"/>
    </row>
    <row r="8" spans="2:19">
      <c r="B8" s="7" t="s">
        <v>5</v>
      </c>
      <c r="C8" s="18"/>
      <c r="D8" s="11">
        <f>+'2014'!R8</f>
        <v>2152.7218400000002</v>
      </c>
      <c r="E8" s="60">
        <f>+D8/$D$5</f>
        <v>0.97068938732255916</v>
      </c>
      <c r="F8" s="15">
        <f>+'2015'!R8</f>
        <v>2177.0639000000001</v>
      </c>
      <c r="G8" s="60">
        <f>+F8/$F$5</f>
        <v>0.90159930822816714</v>
      </c>
      <c r="H8" s="81">
        <f t="shared" si="0"/>
        <v>1.0113075732998555</v>
      </c>
      <c r="I8" s="82">
        <f>+F8-D8</f>
        <v>24.342059999999947</v>
      </c>
      <c r="J8" s="62"/>
      <c r="K8" s="62"/>
    </row>
    <row r="9" spans="2:19">
      <c r="B9" s="20" t="s">
        <v>15</v>
      </c>
      <c r="C9" s="18"/>
      <c r="D9" s="16">
        <f>+D5-D6-D8</f>
        <v>-26.863940000000184</v>
      </c>
      <c r="E9" s="59">
        <f>+D9/$D$5</f>
        <v>-1.2113288849092629E-2</v>
      </c>
      <c r="F9" s="16">
        <f>+F5-F6-F8</f>
        <v>237.60509999999977</v>
      </c>
      <c r="G9" s="59">
        <f>+F9/$F$5</f>
        <v>9.8400691771832818E-2</v>
      </c>
      <c r="H9" s="83">
        <f t="shared" si="0"/>
        <v>-8.8447599272481305</v>
      </c>
      <c r="I9" s="80">
        <f>+F9-D9</f>
        <v>264.46903999999995</v>
      </c>
      <c r="J9" s="62"/>
      <c r="K9" s="62"/>
    </row>
    <row r="10" spans="2:19" ht="7.5" customHeight="1">
      <c r="B10" s="18"/>
      <c r="C10" s="18"/>
      <c r="D10" s="35"/>
      <c r="E10" s="62"/>
      <c r="F10" s="31"/>
      <c r="G10" s="62"/>
      <c r="H10" s="84"/>
      <c r="I10" s="62"/>
      <c r="J10" s="62"/>
      <c r="K10" s="62"/>
    </row>
    <row r="11" spans="2:19">
      <c r="B11" s="19" t="s">
        <v>18</v>
      </c>
      <c r="C11" s="18"/>
      <c r="D11" s="11">
        <f>+'2014'!R11</f>
        <v>52</v>
      </c>
      <c r="E11" s="88"/>
      <c r="F11" s="15">
        <f>+'2015'!R11</f>
        <v>55</v>
      </c>
      <c r="G11" s="62"/>
      <c r="H11" s="81">
        <f t="shared" si="0"/>
        <v>1.0576923076923077</v>
      </c>
      <c r="I11" s="82">
        <f t="shared" ref="I11:I16" si="1">+F11-D11</f>
        <v>3</v>
      </c>
      <c r="J11" s="62"/>
      <c r="K11" s="62"/>
    </row>
    <row r="12" spans="2:19">
      <c r="B12" s="19" t="s">
        <v>16</v>
      </c>
      <c r="C12" s="18"/>
      <c r="D12" s="11">
        <f>+'2014'!R12</f>
        <v>932.83345999999995</v>
      </c>
      <c r="E12" s="88"/>
      <c r="F12" s="15">
        <f>+'2015'!R12</f>
        <v>1030.46946</v>
      </c>
      <c r="G12" s="62"/>
      <c r="H12" s="81">
        <f t="shared" si="0"/>
        <v>1.1046660568972302</v>
      </c>
      <c r="I12" s="82">
        <f t="shared" si="1"/>
        <v>97.636000000000081</v>
      </c>
      <c r="J12" s="62"/>
      <c r="K12" s="62"/>
    </row>
    <row r="13" spans="2:19">
      <c r="B13" s="20" t="s">
        <v>19</v>
      </c>
      <c r="C13" s="18"/>
      <c r="D13" s="36">
        <f>+D12/D5</f>
        <v>0.42062635447661129</v>
      </c>
      <c r="E13" s="62"/>
      <c r="F13" s="36">
        <f>+F12/F5</f>
        <v>0.4267539194813037</v>
      </c>
      <c r="G13" s="62"/>
      <c r="H13" s="79">
        <f t="shared" si="0"/>
        <v>1.0145677153594357</v>
      </c>
      <c r="I13" s="59">
        <f t="shared" si="1"/>
        <v>6.1275650046924146E-3</v>
      </c>
      <c r="J13" s="62"/>
      <c r="K13" s="62"/>
    </row>
    <row r="14" spans="2:19">
      <c r="B14" s="20" t="s">
        <v>17</v>
      </c>
      <c r="C14" s="18"/>
      <c r="D14" s="8">
        <f>+D5/D11</f>
        <v>42.648552115384618</v>
      </c>
      <c r="E14" s="62"/>
      <c r="F14" s="8">
        <f>+F5/F11</f>
        <v>43.903072727272722</v>
      </c>
      <c r="G14" s="62"/>
      <c r="H14" s="79">
        <f t="shared" si="0"/>
        <v>1.0294153154014238</v>
      </c>
      <c r="I14" s="80">
        <f t="shared" si="1"/>
        <v>1.254520611888104</v>
      </c>
      <c r="J14" s="62"/>
      <c r="K14" s="62"/>
    </row>
    <row r="15" spans="2:19">
      <c r="B15" s="10" t="s">
        <v>31</v>
      </c>
      <c r="C15" s="18"/>
      <c r="D15" s="8">
        <f>+D12/D11</f>
        <v>17.939104999999998</v>
      </c>
      <c r="E15" s="62"/>
      <c r="F15" s="8">
        <f>+F12/F11</f>
        <v>18.735808363636362</v>
      </c>
      <c r="G15" s="62"/>
      <c r="H15" s="79">
        <f t="shared" si="0"/>
        <v>1.0444115447028357</v>
      </c>
      <c r="I15" s="80">
        <f t="shared" si="1"/>
        <v>0.79670336363636451</v>
      </c>
      <c r="J15" s="62"/>
      <c r="K15" s="62"/>
    </row>
    <row r="16" spans="2:19">
      <c r="B16" s="20" t="s">
        <v>20</v>
      </c>
      <c r="C16" s="18"/>
      <c r="D16" s="36">
        <f>+D12/D7</f>
        <v>0.43880329912925975</v>
      </c>
      <c r="E16" s="62"/>
      <c r="F16" s="36">
        <f>+F12/F7</f>
        <v>0.4267539194813037</v>
      </c>
      <c r="G16" s="62"/>
      <c r="H16" s="79">
        <f t="shared" si="0"/>
        <v>0.97254036222638651</v>
      </c>
      <c r="I16" s="59">
        <f t="shared" si="1"/>
        <v>-1.2049379647956049E-2</v>
      </c>
      <c r="J16" s="62"/>
      <c r="K16" s="62"/>
    </row>
    <row r="17" spans="2:11" ht="7.5" customHeight="1">
      <c r="B17" s="7"/>
      <c r="C17" s="18"/>
      <c r="D17" s="35"/>
      <c r="E17" s="62"/>
      <c r="F17" s="31"/>
      <c r="G17" s="62"/>
      <c r="H17" s="84"/>
      <c r="I17" s="62"/>
      <c r="J17" s="62"/>
      <c r="K17" s="62"/>
    </row>
    <row r="18" spans="2:11">
      <c r="B18" s="19" t="s">
        <v>33</v>
      </c>
      <c r="C18" s="18"/>
      <c r="D18" s="11">
        <f>+'2014'!R18</f>
        <v>73453</v>
      </c>
      <c r="E18" s="63"/>
      <c r="F18" s="15">
        <f>+'2015'!R18</f>
        <v>79968</v>
      </c>
      <c r="G18" s="71"/>
      <c r="H18" s="81">
        <f t="shared" si="0"/>
        <v>1.0886961730630471</v>
      </c>
      <c r="I18" s="82">
        <f t="shared" ref="I18:I23" si="2">+F18-D18</f>
        <v>6515</v>
      </c>
      <c r="J18" s="62"/>
      <c r="K18" s="62"/>
    </row>
    <row r="19" spans="2:11">
      <c r="B19" s="20" t="s">
        <v>27</v>
      </c>
      <c r="C19" s="18"/>
      <c r="D19" s="89">
        <f>+D5*1000/D18</f>
        <v>30.192432031366994</v>
      </c>
      <c r="E19" s="64"/>
      <c r="F19" s="89">
        <f>+F5*1000/F18</f>
        <v>30.195440676270508</v>
      </c>
      <c r="G19" s="71"/>
      <c r="H19" s="81">
        <f t="shared" si="0"/>
        <v>1.0000996489749612</v>
      </c>
      <c r="I19" s="82">
        <f t="shared" si="2"/>
        <v>3.0086449035131579E-3</v>
      </c>
      <c r="J19" s="62"/>
      <c r="K19" s="62"/>
    </row>
    <row r="20" spans="2:11">
      <c r="B20" s="20" t="s">
        <v>32</v>
      </c>
      <c r="C20" s="18"/>
      <c r="D20" s="89">
        <f>+D12*1000/D18</f>
        <v>12.699732618136768</v>
      </c>
      <c r="E20" s="64"/>
      <c r="F20" s="89">
        <f>+F12*1000/F18</f>
        <v>12.886022659063627</v>
      </c>
      <c r="G20" s="71"/>
      <c r="H20" s="81">
        <f t="shared" ref="H20" si="3">+F20/D20</f>
        <v>1.0146688159923001</v>
      </c>
      <c r="I20" s="82">
        <f t="shared" ref="I20" si="4">+F20-D20</f>
        <v>0.18629004092685975</v>
      </c>
      <c r="J20" s="62"/>
      <c r="K20" s="62"/>
    </row>
    <row r="21" spans="2:11">
      <c r="B21" s="20" t="s">
        <v>28</v>
      </c>
      <c r="C21" s="18"/>
      <c r="D21" s="89">
        <f>+D6*1000/D18</f>
        <v>1.2506883313139014</v>
      </c>
      <c r="E21" s="64"/>
      <c r="F21" s="89">
        <f>+F6*1000/F18</f>
        <v>0</v>
      </c>
      <c r="G21" s="71"/>
      <c r="H21" s="81">
        <f t="shared" si="0"/>
        <v>0</v>
      </c>
      <c r="I21" s="82">
        <f t="shared" si="2"/>
        <v>-1.2506883313139014</v>
      </c>
      <c r="J21" s="62"/>
      <c r="K21" s="62"/>
    </row>
    <row r="22" spans="2:11">
      <c r="B22" s="20" t="s">
        <v>29</v>
      </c>
      <c r="C22" s="18"/>
      <c r="D22" s="89">
        <f>+D8*1000/D18</f>
        <v>29.307473350305642</v>
      </c>
      <c r="E22" s="65"/>
      <c r="F22" s="89">
        <f>+F8*1000/F18</f>
        <v>27.224188425370148</v>
      </c>
      <c r="G22" s="86"/>
      <c r="H22" s="79">
        <f t="shared" si="0"/>
        <v>0.92891625627243746</v>
      </c>
      <c r="I22" s="80">
        <f t="shared" si="2"/>
        <v>-2.0832849249354943</v>
      </c>
      <c r="J22" s="85"/>
      <c r="K22" s="80"/>
    </row>
    <row r="23" spans="2:11">
      <c r="B23" s="20" t="s">
        <v>30</v>
      </c>
      <c r="C23" s="18"/>
      <c r="D23" s="54">
        <f>+D7/D5</f>
        <v>0.95857609847346659</v>
      </c>
      <c r="E23" s="66"/>
      <c r="F23" s="54">
        <f>+F7/F5</f>
        <v>1</v>
      </c>
      <c r="G23" s="87"/>
      <c r="H23" s="79">
        <f t="shared" si="0"/>
        <v>1.043213993748124</v>
      </c>
      <c r="I23" s="80">
        <f t="shared" si="2"/>
        <v>4.1423901526533413E-2</v>
      </c>
      <c r="J23" s="62"/>
      <c r="K23" s="62"/>
    </row>
    <row r="24" spans="2:11" ht="7.5" customHeight="1">
      <c r="B24" s="18"/>
      <c r="C24" s="46"/>
      <c r="D24" s="46"/>
      <c r="E24" s="62"/>
      <c r="F24" s="47"/>
      <c r="G24" s="62"/>
      <c r="H24" s="84"/>
      <c r="I24" s="62"/>
      <c r="J24" s="62"/>
      <c r="K24" s="62"/>
    </row>
    <row r="25" spans="2:11">
      <c r="B25" s="22" t="s">
        <v>26</v>
      </c>
      <c r="C25" s="48"/>
      <c r="D25" s="23">
        <f>+D8/(1-D6/D5)</f>
        <v>2245.7495481352103</v>
      </c>
      <c r="E25" s="62"/>
      <c r="F25" s="23">
        <f>+F8/(1-F6/F5)</f>
        <v>2177.0639000000001</v>
      </c>
      <c r="G25" s="62"/>
      <c r="H25" s="44">
        <f>+F25/D25</f>
        <v>0.96941526797044475</v>
      </c>
      <c r="I25" s="23">
        <f>+F25-D25</f>
        <v>-68.685648135210158</v>
      </c>
      <c r="J25" s="46"/>
      <c r="K25" s="46"/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8" right="0.1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workbookViewId="0">
      <pane xSplit="3" ySplit="4" topLeftCell="I5" activePane="bottomRight" state="frozen"/>
      <selection pane="topRight" activeCell="C1" sqref="C1"/>
      <selection pane="bottomLeft" activeCell="A5" sqref="A5"/>
      <selection pane="bottomRight" activeCell="R11" sqref="R1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9" customWidth="1"/>
    <col min="6" max="6" width="16.5703125" customWidth="1"/>
    <col min="7" max="7" width="9" customWidth="1"/>
    <col min="8" max="8" width="16.5703125" customWidth="1"/>
    <col min="9" max="9" width="9" customWidth="1"/>
    <col min="10" max="10" width="16.5703125" customWidth="1"/>
    <col min="11" max="11" width="9" customWidth="1"/>
    <col min="12" max="12" width="16.5703125" customWidth="1"/>
    <col min="13" max="13" width="9" customWidth="1"/>
    <col min="14" max="14" width="16.5703125" customWidth="1"/>
    <col min="15" max="15" width="9" customWidth="1"/>
    <col min="16" max="16" width="16.5703125" customWidth="1"/>
    <col min="17" max="17" width="9" customWidth="1"/>
    <col min="18" max="18" width="16.5703125" customWidth="1"/>
    <col min="19" max="19" width="9" customWidth="1"/>
    <col min="20" max="20" width="16.5703125" customWidth="1"/>
    <col min="21" max="21" width="9" customWidth="1"/>
    <col min="22" max="22" width="16.5703125" customWidth="1"/>
    <col min="23" max="23" width="9" customWidth="1"/>
    <col min="24" max="24" width="16.5703125" customWidth="1"/>
    <col min="25" max="25" width="9" customWidth="1"/>
    <col min="26" max="26" width="16.5703125" customWidth="1"/>
    <col min="27" max="27" width="9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9"/>
      <c r="S1" s="49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2:32">
      <c r="B2" s="50" t="s">
        <v>34</v>
      </c>
      <c r="C2" s="18"/>
      <c r="D2" s="37" t="s">
        <v>2</v>
      </c>
      <c r="E2" s="51" t="s">
        <v>11</v>
      </c>
      <c r="F2" s="37" t="s">
        <v>2</v>
      </c>
      <c r="G2" s="51" t="s">
        <v>11</v>
      </c>
      <c r="H2" s="37" t="s">
        <v>2</v>
      </c>
      <c r="I2" s="51" t="s">
        <v>11</v>
      </c>
      <c r="J2" s="37" t="s">
        <v>2</v>
      </c>
      <c r="K2" s="51" t="s">
        <v>11</v>
      </c>
      <c r="L2" s="37" t="s">
        <v>2</v>
      </c>
      <c r="M2" s="51" t="s">
        <v>11</v>
      </c>
      <c r="N2" s="37" t="s">
        <v>2</v>
      </c>
      <c r="O2" s="51" t="s">
        <v>11</v>
      </c>
      <c r="P2" s="37" t="s">
        <v>2</v>
      </c>
      <c r="Q2" s="51" t="s">
        <v>11</v>
      </c>
      <c r="R2" s="37" t="s">
        <v>2</v>
      </c>
      <c r="S2" s="51" t="s">
        <v>11</v>
      </c>
      <c r="T2" s="3" t="s">
        <v>2</v>
      </c>
      <c r="U2" s="51" t="s">
        <v>11</v>
      </c>
      <c r="V2" s="3" t="s">
        <v>2</v>
      </c>
      <c r="W2" s="51" t="s">
        <v>11</v>
      </c>
      <c r="X2" s="3" t="s">
        <v>2</v>
      </c>
      <c r="Y2" s="51" t="s">
        <v>11</v>
      </c>
      <c r="Z2" s="3" t="s">
        <v>2</v>
      </c>
      <c r="AA2" s="18"/>
      <c r="AB2" s="18"/>
      <c r="AC2" s="3" t="s">
        <v>2</v>
      </c>
      <c r="AD2" s="51" t="s">
        <v>21</v>
      </c>
      <c r="AE2" s="52" t="s">
        <v>14</v>
      </c>
      <c r="AF2" s="78"/>
    </row>
    <row r="3" spans="2:32">
      <c r="B3" s="52" t="s">
        <v>1</v>
      </c>
      <c r="C3" s="18"/>
      <c r="D3" s="99" t="s">
        <v>58</v>
      </c>
      <c r="E3" s="25" t="s">
        <v>13</v>
      </c>
      <c r="F3" s="99" t="s">
        <v>57</v>
      </c>
      <c r="G3" s="25" t="s">
        <v>13</v>
      </c>
      <c r="H3" s="99" t="s">
        <v>56</v>
      </c>
      <c r="I3" s="25" t="s">
        <v>13</v>
      </c>
      <c r="J3" s="99" t="s">
        <v>55</v>
      </c>
      <c r="K3" s="25" t="s">
        <v>13</v>
      </c>
      <c r="L3" s="99" t="s">
        <v>54</v>
      </c>
      <c r="M3" s="25" t="s">
        <v>13</v>
      </c>
      <c r="N3" s="99" t="s">
        <v>53</v>
      </c>
      <c r="O3" s="25" t="s">
        <v>13</v>
      </c>
      <c r="P3" s="99" t="s">
        <v>52</v>
      </c>
      <c r="Q3" s="25" t="s">
        <v>13</v>
      </c>
      <c r="R3" s="99" t="s">
        <v>51</v>
      </c>
      <c r="S3" s="25" t="s">
        <v>13</v>
      </c>
      <c r="T3" s="4" t="s">
        <v>6</v>
      </c>
      <c r="U3" s="25" t="s">
        <v>13</v>
      </c>
      <c r="V3" s="4" t="s">
        <v>8</v>
      </c>
      <c r="W3" s="25" t="s">
        <v>13</v>
      </c>
      <c r="X3" s="4" t="s">
        <v>9</v>
      </c>
      <c r="Y3" s="25" t="s">
        <v>13</v>
      </c>
      <c r="Z3" s="4" t="s">
        <v>10</v>
      </c>
      <c r="AA3" s="18"/>
      <c r="AB3" s="18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18"/>
      <c r="D4" s="96" t="s">
        <v>22</v>
      </c>
      <c r="E4" s="37"/>
      <c r="F4" s="96" t="s">
        <v>22</v>
      </c>
      <c r="G4" s="37"/>
      <c r="H4" s="96" t="s">
        <v>22</v>
      </c>
      <c r="I4" s="37"/>
      <c r="J4" s="96" t="s">
        <v>22</v>
      </c>
      <c r="K4" s="37"/>
      <c r="L4" s="96" t="s">
        <v>22</v>
      </c>
      <c r="M4" s="37"/>
      <c r="N4" s="96" t="s">
        <v>22</v>
      </c>
      <c r="O4" s="37"/>
      <c r="P4" s="96" t="s">
        <v>22</v>
      </c>
      <c r="Q4" s="37"/>
      <c r="R4" s="96" t="s">
        <v>22</v>
      </c>
      <c r="S4" s="37"/>
      <c r="T4" s="18"/>
      <c r="U4" s="18"/>
      <c r="V4" s="18"/>
      <c r="W4" s="18"/>
      <c r="X4" s="18"/>
      <c r="Y4" s="18"/>
      <c r="Z4" s="18"/>
      <c r="AA4" s="18"/>
      <c r="AB4" s="18"/>
      <c r="AC4" s="18"/>
      <c r="AD4" s="3"/>
      <c r="AE4" s="52">
        <v>8</v>
      </c>
      <c r="AF4" s="3"/>
    </row>
    <row r="5" spans="2:32">
      <c r="B5" s="10" t="s">
        <v>3</v>
      </c>
      <c r="C5" s="18"/>
      <c r="D5" s="9">
        <f>135.493+2512.2468</f>
        <v>2647.7397999999998</v>
      </c>
      <c r="E5" s="59">
        <f>+D5/D5</f>
        <v>1</v>
      </c>
      <c r="F5" s="9">
        <f>130.469+2510.349</f>
        <v>2640.8180000000002</v>
      </c>
      <c r="G5" s="59">
        <f>+F5/F5</f>
        <v>1</v>
      </c>
      <c r="H5" s="9">
        <f>146.021+2755.2</f>
        <v>2901.221</v>
      </c>
      <c r="I5" s="59">
        <f>+H5/H5</f>
        <v>1</v>
      </c>
      <c r="J5" s="9">
        <f>156.20292+2693.1418</f>
        <v>2849.3447200000001</v>
      </c>
      <c r="K5" s="59">
        <f>+J5/J5</f>
        <v>1</v>
      </c>
      <c r="L5" s="9">
        <f>142.309+2613.567</f>
        <v>2755.8760000000002</v>
      </c>
      <c r="M5" s="59">
        <f>+L5/L5</f>
        <v>1</v>
      </c>
      <c r="N5" s="9">
        <f>149.345+2702.4263</f>
        <v>2851.7712999999999</v>
      </c>
      <c r="O5" s="59">
        <f>+N5/N5</f>
        <v>1</v>
      </c>
      <c r="P5" s="9">
        <f>144.55594+2415.802</f>
        <v>2560.3579400000003</v>
      </c>
      <c r="Q5" s="59">
        <f>+P5/P5</f>
        <v>1</v>
      </c>
      <c r="R5" s="9">
        <f>124.28358+2093.44113</f>
        <v>2217.72471</v>
      </c>
      <c r="S5" s="68">
        <f>+R5/$R$5</f>
        <v>1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+P5+T5+V5+X5+Z5+R5+N5+L5+J5+H5+F5+D5</f>
        <v>21424.853470000002</v>
      </c>
      <c r="AD5" s="68">
        <f>+AC5/$AC$5</f>
        <v>1</v>
      </c>
      <c r="AE5" s="33">
        <f>+AC5/$AE$4</f>
        <v>2678.1066837500002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193.33344</v>
      </c>
      <c r="G6" s="60">
        <f>+F6/F5</f>
        <v>7.3209679728023655E-2</v>
      </c>
      <c r="H6" s="11">
        <v>0</v>
      </c>
      <c r="I6" s="60">
        <f>+H6/H5</f>
        <v>0</v>
      </c>
      <c r="J6" s="11">
        <v>104.97307000000001</v>
      </c>
      <c r="K6" s="60">
        <f>+J6/J5</f>
        <v>3.6841126755628222E-2</v>
      </c>
      <c r="L6" s="11">
        <v>213.06399999999999</v>
      </c>
      <c r="M6" s="60">
        <f>+L6/L5</f>
        <v>7.7312622193451364E-2</v>
      </c>
      <c r="N6" s="11">
        <v>96.364000000000004</v>
      </c>
      <c r="O6" s="60">
        <f>+N6/N5</f>
        <v>3.3790928466108067E-2</v>
      </c>
      <c r="P6" s="11">
        <v>0</v>
      </c>
      <c r="Q6" s="60">
        <f>+P6/P5</f>
        <v>0</v>
      </c>
      <c r="R6" s="11">
        <v>91.866810000000001</v>
      </c>
      <c r="S6" s="69">
        <f>+R6/$R$5</f>
        <v>4.1423901526533476E-2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+P6+T6+V6+X6+Z6+R6+N6+L6+J6+H6+F6+D6</f>
        <v>699.60131999999999</v>
      </c>
      <c r="AD6" s="69">
        <f>+AC6/$AC$5</f>
        <v>3.2653727176226048E-2</v>
      </c>
      <c r="AE6" s="15">
        <f t="shared" ref="AE6:AE9" si="0">+AC6/$AE$4</f>
        <v>87.450164999999998</v>
      </c>
      <c r="AF6" s="62"/>
    </row>
    <row r="7" spans="2:32">
      <c r="B7" s="10" t="s">
        <v>7</v>
      </c>
      <c r="C7" s="18"/>
      <c r="D7" s="8">
        <f>+D5-D6</f>
        <v>2647.7397999999998</v>
      </c>
      <c r="E7" s="61">
        <f>+D7/D5</f>
        <v>1</v>
      </c>
      <c r="F7" s="8">
        <f>+F5-F6</f>
        <v>2447.4845600000003</v>
      </c>
      <c r="G7" s="61">
        <f>+F7/F5</f>
        <v>0.92679032027197639</v>
      </c>
      <c r="H7" s="8">
        <f>+H5-H6</f>
        <v>2901.221</v>
      </c>
      <c r="I7" s="61">
        <f>+H7/H5</f>
        <v>1</v>
      </c>
      <c r="J7" s="8">
        <f>+J5-J6</f>
        <v>2744.37165</v>
      </c>
      <c r="K7" s="61">
        <f>+J7/J5</f>
        <v>0.96315887324437177</v>
      </c>
      <c r="L7" s="8">
        <f>+L5-L6</f>
        <v>2542.8120000000004</v>
      </c>
      <c r="M7" s="61">
        <f>+L7/L5</f>
        <v>0.92268737780654864</v>
      </c>
      <c r="N7" s="8">
        <f>+N5-N6</f>
        <v>2755.4072999999999</v>
      </c>
      <c r="O7" s="61">
        <f>+N7/N5</f>
        <v>0.96620907153389191</v>
      </c>
      <c r="P7" s="8">
        <f>+P5-P6</f>
        <v>2560.3579400000003</v>
      </c>
      <c r="Q7" s="61">
        <f>+P7/P5</f>
        <v>1</v>
      </c>
      <c r="R7" s="8">
        <f>+R5-R6</f>
        <v>2125.8579</v>
      </c>
      <c r="S7" s="69">
        <f>+R7/$R$5</f>
        <v>0.95857609847346659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+P7+T7+V7+X7+Z7+R7+N7+L7+J7+H7+F7+D7</f>
        <v>20725.25215</v>
      </c>
      <c r="AD7" s="69">
        <f>+AC7/$AC$5</f>
        <v>0.96734627282377383</v>
      </c>
      <c r="AE7" s="13">
        <f t="shared" si="0"/>
        <v>2590.65651875</v>
      </c>
      <c r="AF7" s="62"/>
    </row>
    <row r="8" spans="2:32">
      <c r="B8" s="7" t="s">
        <v>5</v>
      </c>
      <c r="C8" s="18"/>
      <c r="D8" s="11">
        <v>2148.36</v>
      </c>
      <c r="E8" s="60">
        <f>+D8/D5</f>
        <v>0.81139392926752107</v>
      </c>
      <c r="F8" s="11">
        <v>2464.8270000000002</v>
      </c>
      <c r="G8" s="60">
        <f>+F8/F5</f>
        <v>0.93335739153550146</v>
      </c>
      <c r="H8" s="11">
        <f>2237.275+248.89</f>
        <v>2486.165</v>
      </c>
      <c r="I8" s="60">
        <f>+H8/H5</f>
        <v>0.85693747563525835</v>
      </c>
      <c r="J8" s="11">
        <v>2284.5949999999998</v>
      </c>
      <c r="K8" s="60">
        <f>+J8/J5</f>
        <v>0.80179663203404883</v>
      </c>
      <c r="L8" s="11">
        <f>2373.823+241.282-213.064</f>
        <v>2402.0410000000002</v>
      </c>
      <c r="M8" s="60">
        <f>+L8/L5</f>
        <v>0.87160706795225906</v>
      </c>
      <c r="N8" s="11">
        <v>2487.5149999999999</v>
      </c>
      <c r="O8" s="60">
        <f>+N8/N5</f>
        <v>0.87227015714759459</v>
      </c>
      <c r="P8" s="11">
        <f>2374.339+297.46</f>
        <v>2671.799</v>
      </c>
      <c r="Q8" s="60">
        <f>+P8/P5</f>
        <v>1.0435255783025399</v>
      </c>
      <c r="R8" s="11">
        <v>2152.7218400000002</v>
      </c>
      <c r="S8" s="69">
        <f>+R8/$R$5</f>
        <v>0.97068938732255916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11">
        <v>0</v>
      </c>
      <c r="AA8" s="60" t="e">
        <f>+Z8/$Z$5</f>
        <v>#DIV/0!</v>
      </c>
      <c r="AB8" s="18"/>
      <c r="AC8" s="97">
        <f>+P8+T8+V8+X8+Z8+R8+N8+L8+J8+H8+F8+D8</f>
        <v>19098.023840000002</v>
      </c>
      <c r="AD8" s="69">
        <f>+AC8/$AC$5</f>
        <v>0.89139577391938163</v>
      </c>
      <c r="AE8" s="15">
        <f t="shared" si="0"/>
        <v>2387.2529800000002</v>
      </c>
      <c r="AF8" s="62"/>
    </row>
    <row r="9" spans="2:32">
      <c r="B9" s="20" t="s">
        <v>15</v>
      </c>
      <c r="C9" s="18"/>
      <c r="D9" s="16">
        <f>+D5-D6-D8</f>
        <v>499.3797999999997</v>
      </c>
      <c r="E9" s="59">
        <f>+D9/D5</f>
        <v>0.18860607073247898</v>
      </c>
      <c r="F9" s="16">
        <f>+F5-F6-F8</f>
        <v>-17.342439999999897</v>
      </c>
      <c r="G9" s="59">
        <f>+F9/F5</f>
        <v>-6.567071263525126E-3</v>
      </c>
      <c r="H9" s="16">
        <f>+H5-H6-H8</f>
        <v>415.05600000000004</v>
      </c>
      <c r="I9" s="59">
        <f>+H9/H5</f>
        <v>0.14306252436474162</v>
      </c>
      <c r="J9" s="16">
        <f>+J5-J6-J8</f>
        <v>459.77665000000025</v>
      </c>
      <c r="K9" s="59">
        <f>+J9/J5</f>
        <v>0.161362241210323</v>
      </c>
      <c r="L9" s="16">
        <f>+L5-L6-L8</f>
        <v>140.77100000000019</v>
      </c>
      <c r="M9" s="59">
        <f>+L9/L5</f>
        <v>5.1080309854289588E-2</v>
      </c>
      <c r="N9" s="16">
        <f>+N5-N6-N8</f>
        <v>267.89229999999998</v>
      </c>
      <c r="O9" s="59">
        <f>+N9/N5</f>
        <v>9.3938914386297381E-2</v>
      </c>
      <c r="P9" s="16">
        <f>+P5-P6-P8</f>
        <v>-111.44105999999965</v>
      </c>
      <c r="Q9" s="59">
        <f>+P9/P5</f>
        <v>-4.3525578302539857E-2</v>
      </c>
      <c r="R9" s="16">
        <f>+R5-R6-R8</f>
        <v>-26.863940000000184</v>
      </c>
      <c r="S9" s="68">
        <f>+R9/$R$5</f>
        <v>-1.2113288849092629E-2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f>+Z5-Z6-Z8</f>
        <v>0</v>
      </c>
      <c r="AA9" s="59" t="e">
        <f>+Z9/$Z$5</f>
        <v>#DIV/0!</v>
      </c>
      <c r="AB9" s="18"/>
      <c r="AC9" s="98">
        <f>+P9+T9+V9+X9+Z9+R9+N9+L9+J9+H9+F9+D9</f>
        <v>1627.2283100000004</v>
      </c>
      <c r="AD9" s="68">
        <f>+AC9/$AC$5</f>
        <v>7.5950498904392288E-2</v>
      </c>
      <c r="AE9" s="32">
        <f t="shared" si="0"/>
        <v>203.40353875000005</v>
      </c>
      <c r="AF9" s="62"/>
    </row>
    <row r="10" spans="2:32" ht="7.5" customHeight="1">
      <c r="B10" s="18"/>
      <c r="C10" s="18"/>
      <c r="D10" s="35"/>
      <c r="E10" s="62"/>
      <c r="F10" s="35"/>
      <c r="G10" s="62"/>
      <c r="H10" s="35"/>
      <c r="I10" s="62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35">
        <v>55</v>
      </c>
      <c r="E11" s="62"/>
      <c r="F11" s="35">
        <v>55</v>
      </c>
      <c r="G11" s="62"/>
      <c r="H11" s="35">
        <v>53</v>
      </c>
      <c r="I11" s="62"/>
      <c r="J11" s="35">
        <v>53</v>
      </c>
      <c r="K11" s="62"/>
      <c r="L11" s="35">
        <v>53</v>
      </c>
      <c r="M11" s="62"/>
      <c r="N11" s="35">
        <v>52</v>
      </c>
      <c r="O11" s="62"/>
      <c r="P11" s="35">
        <v>52</v>
      </c>
      <c r="Q11" s="62"/>
      <c r="R11" s="100">
        <v>52</v>
      </c>
      <c r="S11" s="75"/>
      <c r="T11" s="94">
        <v>0</v>
      </c>
      <c r="U11" s="18"/>
      <c r="V11" s="94">
        <v>0</v>
      </c>
      <c r="W11" s="18"/>
      <c r="X11" s="94">
        <v>0</v>
      </c>
      <c r="Y11" s="18"/>
      <c r="Z11" s="18">
        <v>0</v>
      </c>
      <c r="AA11" s="18"/>
      <c r="AB11" s="18"/>
      <c r="AC11" s="97">
        <f>+P11+T11+V11+X11+Z11+R11+N11+L11+J11+H11+F11+D11</f>
        <v>425</v>
      </c>
      <c r="AD11" s="62"/>
      <c r="AE11" s="15">
        <f t="shared" ref="AE11:AE12" si="1">+AC11/$AE$4</f>
        <v>53.125</v>
      </c>
      <c r="AF11" s="62"/>
    </row>
    <row r="12" spans="2:32">
      <c r="B12" s="19" t="s">
        <v>16</v>
      </c>
      <c r="C12" s="18"/>
      <c r="D12" s="35">
        <v>1000.503</v>
      </c>
      <c r="E12" s="62"/>
      <c r="F12" s="35">
        <v>975.47</v>
      </c>
      <c r="G12" s="62"/>
      <c r="H12" s="35">
        <v>950.30085999999994</v>
      </c>
      <c r="I12" s="62"/>
      <c r="J12" s="35">
        <v>984.95750999999996</v>
      </c>
      <c r="K12" s="62"/>
      <c r="L12" s="35">
        <v>977.86568999999997</v>
      </c>
      <c r="M12" s="62"/>
      <c r="N12" s="35">
        <v>966.74878000000001</v>
      </c>
      <c r="O12" s="62"/>
      <c r="P12" s="35">
        <v>1402.384</v>
      </c>
      <c r="Q12" s="62"/>
      <c r="R12" s="35">
        <v>932.83345999999995</v>
      </c>
      <c r="S12" s="75"/>
      <c r="T12" s="35">
        <v>0</v>
      </c>
      <c r="U12" s="18"/>
      <c r="V12" s="35">
        <v>0</v>
      </c>
      <c r="W12" s="18"/>
      <c r="X12" s="35">
        <v>0</v>
      </c>
      <c r="Y12" s="18"/>
      <c r="Z12" s="35">
        <v>0</v>
      </c>
      <c r="AA12" s="18"/>
      <c r="AB12" s="18"/>
      <c r="AC12" s="97">
        <f>+P12+T12+V12+X12+Z12+R12+N12+L12+J12+H12+F12+D12</f>
        <v>8191.0632999999998</v>
      </c>
      <c r="AD12" s="62"/>
      <c r="AE12" s="15">
        <f t="shared" si="1"/>
        <v>1023.8829125</v>
      </c>
      <c r="AF12" s="62"/>
    </row>
    <row r="13" spans="2:32">
      <c r="B13" s="20" t="s">
        <v>19</v>
      </c>
      <c r="C13" s="18"/>
      <c r="D13" s="36">
        <f>+D12/D5</f>
        <v>0.37787058985176719</v>
      </c>
      <c r="E13" s="62"/>
      <c r="F13" s="36">
        <f>+F12/F5</f>
        <v>0.36938175974262516</v>
      </c>
      <c r="G13" s="62"/>
      <c r="H13" s="36">
        <f>+H12/H5</f>
        <v>0.32755204101997054</v>
      </c>
      <c r="I13" s="62"/>
      <c r="J13" s="36">
        <f>+J12/J5</f>
        <v>0.34567860571114045</v>
      </c>
      <c r="K13" s="62"/>
      <c r="L13" s="36">
        <f>+L12/L5</f>
        <v>0.35482935008686889</v>
      </c>
      <c r="M13" s="62"/>
      <c r="N13" s="36">
        <f>+N12/N5</f>
        <v>0.33899940714039728</v>
      </c>
      <c r="O13" s="62"/>
      <c r="P13" s="36">
        <f>+P12/P5</f>
        <v>0.54772966626689701</v>
      </c>
      <c r="Q13" s="62"/>
      <c r="R13" s="36">
        <f>+R12/R5</f>
        <v>0.42062635447661129</v>
      </c>
      <c r="S13" s="75"/>
      <c r="T13" s="36" t="e">
        <f>+T12/T5</f>
        <v>#DIV/0!</v>
      </c>
      <c r="U13" s="18"/>
      <c r="V13" s="36" t="e">
        <f>+V12/V5</f>
        <v>#DIV/0!</v>
      </c>
      <c r="W13" s="18"/>
      <c r="X13" s="36" t="e">
        <f>+X12/X5</f>
        <v>#DIV/0!</v>
      </c>
      <c r="Y13" s="18"/>
      <c r="Z13" s="36" t="e">
        <f>+Z12/Z5</f>
        <v>#DIV/0!</v>
      </c>
      <c r="AA13" s="18"/>
      <c r="AB13" s="18"/>
      <c r="AC13" s="38">
        <f>+AC12/AC5</f>
        <v>0.38231595429436555</v>
      </c>
      <c r="AD13" s="62"/>
      <c r="AE13" s="38">
        <f>+AE12/AE5</f>
        <v>0.38231595429436555</v>
      </c>
      <c r="AF13" s="62"/>
    </row>
    <row r="14" spans="2:32">
      <c r="B14" s="20" t="s">
        <v>17</v>
      </c>
      <c r="C14" s="18"/>
      <c r="D14" s="8">
        <f>+D5/D11</f>
        <v>48.140723636363631</v>
      </c>
      <c r="E14" s="62"/>
      <c r="F14" s="8">
        <f>+F5/F11</f>
        <v>48.014872727272731</v>
      </c>
      <c r="G14" s="62"/>
      <c r="H14" s="8">
        <f>+H5/H11</f>
        <v>54.740018867924526</v>
      </c>
      <c r="I14" s="62"/>
      <c r="J14" s="8">
        <f>+J5/J11</f>
        <v>53.76122113207547</v>
      </c>
      <c r="K14" s="62"/>
      <c r="L14" s="8">
        <f>+L5/L11</f>
        <v>51.997660377358493</v>
      </c>
      <c r="M14" s="62"/>
      <c r="N14" s="8">
        <f>+N5/N11</f>
        <v>54.841755769230765</v>
      </c>
      <c r="O14" s="62"/>
      <c r="P14" s="8">
        <f>+P5/P11</f>
        <v>49.237652692307698</v>
      </c>
      <c r="Q14" s="62"/>
      <c r="R14" s="8">
        <f>+R5/R11</f>
        <v>42.648552115384618</v>
      </c>
      <c r="S14" s="75"/>
      <c r="T14" s="8" t="e">
        <f>+T5/T11</f>
        <v>#DIV/0!</v>
      </c>
      <c r="U14" s="18"/>
      <c r="V14" s="8" t="e">
        <f>+V5/V11</f>
        <v>#DIV/0!</v>
      </c>
      <c r="W14" s="18"/>
      <c r="X14" s="8" t="e">
        <f>+X5/X11</f>
        <v>#DIV/0!</v>
      </c>
      <c r="Y14" s="18"/>
      <c r="Z14" s="8" t="e">
        <f>+Z5/Z11</f>
        <v>#DIV/0!</v>
      </c>
      <c r="AA14" s="18"/>
      <c r="AB14" s="18"/>
      <c r="AC14" s="39">
        <f>+AC5/AC11</f>
        <v>50.411419929411771</v>
      </c>
      <c r="AD14" s="62"/>
      <c r="AE14" s="39">
        <f>+AE5/AE11</f>
        <v>50.411419929411771</v>
      </c>
      <c r="AF14" s="62"/>
    </row>
    <row r="15" spans="2:32">
      <c r="B15" s="10" t="s">
        <v>31</v>
      </c>
      <c r="C15" s="18"/>
      <c r="D15" s="8">
        <f>+D12/D11</f>
        <v>18.190963636363637</v>
      </c>
      <c r="E15" s="62"/>
      <c r="F15" s="8">
        <f>+F12/F11</f>
        <v>17.735818181818182</v>
      </c>
      <c r="G15" s="62"/>
      <c r="H15" s="8">
        <f>+H12/H11</f>
        <v>17.930204905660375</v>
      </c>
      <c r="I15" s="62"/>
      <c r="J15" s="8">
        <f>+J12/J11</f>
        <v>18.584103962264152</v>
      </c>
      <c r="K15" s="62"/>
      <c r="L15" s="8">
        <f>+L12/L11</f>
        <v>18.45029603773585</v>
      </c>
      <c r="M15" s="62"/>
      <c r="N15" s="8">
        <f>+N12/N11</f>
        <v>18.591322692307692</v>
      </c>
      <c r="O15" s="62"/>
      <c r="P15" s="8">
        <f>+P12/P11</f>
        <v>26.968923076923076</v>
      </c>
      <c r="Q15" s="62"/>
      <c r="R15" s="8">
        <f>+R12/R11</f>
        <v>17.939104999999998</v>
      </c>
      <c r="S15" s="75"/>
      <c r="T15" s="8" t="e">
        <f>+T12/T11</f>
        <v>#DIV/0!</v>
      </c>
      <c r="U15" s="18"/>
      <c r="V15" s="8" t="e">
        <f>+V12/V11</f>
        <v>#DIV/0!</v>
      </c>
      <c r="W15" s="18"/>
      <c r="X15" s="8" t="e">
        <f>+X12/X11</f>
        <v>#DIV/0!</v>
      </c>
      <c r="Y15" s="18"/>
      <c r="Z15" s="8" t="e">
        <f>+Z12/Z11</f>
        <v>#DIV/0!</v>
      </c>
      <c r="AA15" s="18"/>
      <c r="AB15" s="18"/>
      <c r="AC15" s="39">
        <f>+AC12/AC11</f>
        <v>19.273090117647058</v>
      </c>
      <c r="AD15" s="62"/>
      <c r="AE15" s="39">
        <f>+AE12/AE11</f>
        <v>19.273090117647058</v>
      </c>
      <c r="AF15" s="62"/>
    </row>
    <row r="16" spans="2:32">
      <c r="B16" s="20" t="s">
        <v>20</v>
      </c>
      <c r="C16" s="18"/>
      <c r="D16" s="36">
        <f>+D12/D7</f>
        <v>0.37787058985176719</v>
      </c>
      <c r="E16" s="62"/>
      <c r="F16" s="36">
        <f>+F12/F7</f>
        <v>0.39856022625940485</v>
      </c>
      <c r="G16" s="62"/>
      <c r="H16" s="36">
        <f>+H12/H7</f>
        <v>0.32755204101997054</v>
      </c>
      <c r="I16" s="62"/>
      <c r="J16" s="36">
        <f>+J12/J7</f>
        <v>0.3589009199974792</v>
      </c>
      <c r="K16" s="62"/>
      <c r="L16" s="36">
        <f>+L12/L7</f>
        <v>0.38456075006724832</v>
      </c>
      <c r="M16" s="62"/>
      <c r="N16" s="36">
        <f>+N12/N7</f>
        <v>0.35085512766116284</v>
      </c>
      <c r="O16" s="62"/>
      <c r="P16" s="36">
        <f>+P12/P7</f>
        <v>0.54772966626689701</v>
      </c>
      <c r="Q16" s="62"/>
      <c r="R16" s="36">
        <f>+R12/R7</f>
        <v>0.43880329912925975</v>
      </c>
      <c r="S16" s="75"/>
      <c r="T16" s="36" t="e">
        <f>+T12/T7</f>
        <v>#DIV/0!</v>
      </c>
      <c r="U16" s="18"/>
      <c r="V16" s="36" t="e">
        <f>+V12/V7</f>
        <v>#DIV/0!</v>
      </c>
      <c r="W16" s="18"/>
      <c r="X16" s="36" t="e">
        <f>+X12/X7</f>
        <v>#DIV/0!</v>
      </c>
      <c r="Y16" s="18"/>
      <c r="Z16" s="36" t="e">
        <f>+Z12/Z7</f>
        <v>#DIV/0!</v>
      </c>
      <c r="AA16" s="18"/>
      <c r="AB16" s="18"/>
      <c r="AC16" s="38">
        <f>+AC12/AC7</f>
        <v>0.39522140626887375</v>
      </c>
      <c r="AD16" s="62"/>
      <c r="AE16" s="38">
        <f>+AE12/AE7</f>
        <v>0.39522140626887375</v>
      </c>
      <c r="AF16" s="62"/>
    </row>
    <row r="17" spans="2:32" ht="7.5" customHeight="1">
      <c r="B17" s="7"/>
      <c r="C17" s="18"/>
      <c r="D17" s="35"/>
      <c r="E17" s="62"/>
      <c r="F17" s="35"/>
      <c r="G17" s="62"/>
      <c r="H17" s="35"/>
      <c r="I17" s="62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88122</v>
      </c>
      <c r="E18" s="63"/>
      <c r="F18" s="11">
        <v>87432</v>
      </c>
      <c r="G18" s="63"/>
      <c r="H18" s="11">
        <v>96389</v>
      </c>
      <c r="I18" s="63"/>
      <c r="J18" s="11">
        <v>94351</v>
      </c>
      <c r="K18" s="63"/>
      <c r="L18" s="11">
        <v>91388</v>
      </c>
      <c r="M18" s="63"/>
      <c r="N18" s="11">
        <v>94407</v>
      </c>
      <c r="O18" s="63"/>
      <c r="P18" s="11">
        <v>85285</v>
      </c>
      <c r="Q18" s="63"/>
      <c r="R18" s="11">
        <v>73453</v>
      </c>
      <c r="S18" s="76"/>
      <c r="T18" s="11">
        <v>0</v>
      </c>
      <c r="U18" s="18"/>
      <c r="V18" s="11">
        <v>0</v>
      </c>
      <c r="W18" s="18"/>
      <c r="X18" s="11">
        <v>0</v>
      </c>
      <c r="Y18" s="18"/>
      <c r="Z18" s="11">
        <v>0</v>
      </c>
      <c r="AA18" s="18"/>
      <c r="AB18" s="18"/>
      <c r="AC18" s="97">
        <f>+P18+T18+V18+X18+Z18+R18+N18+L18+J18+H18+F18+D18</f>
        <v>710827</v>
      </c>
      <c r="AD18" s="71"/>
      <c r="AE18" s="15">
        <f t="shared" ref="AE18" si="2">+AC18/$AE$4</f>
        <v>88853.375</v>
      </c>
      <c r="AF18" s="71"/>
    </row>
    <row r="19" spans="2:32">
      <c r="B19" s="20" t="s">
        <v>27</v>
      </c>
      <c r="C19" s="18"/>
      <c r="D19" s="89">
        <f>+D5*1000/D18</f>
        <v>30.046297178911054</v>
      </c>
      <c r="E19" s="63"/>
      <c r="F19" s="89">
        <f>+F5*1000/F18</f>
        <v>30.204250160124438</v>
      </c>
      <c r="G19" s="63"/>
      <c r="H19" s="89">
        <f>+H5*1000/H18</f>
        <v>30.09908807021548</v>
      </c>
      <c r="I19" s="63"/>
      <c r="J19" s="89">
        <f>+J5*1000/J18</f>
        <v>30.199411982914864</v>
      </c>
      <c r="K19" s="63"/>
      <c r="L19" s="89">
        <f>+L5*1000/L18</f>
        <v>30.155775375322801</v>
      </c>
      <c r="M19" s="63"/>
      <c r="N19" s="89">
        <f>+N5*1000/N18</f>
        <v>30.207201796476955</v>
      </c>
      <c r="O19" s="63"/>
      <c r="P19" s="89">
        <f>+P5*1000/P18</f>
        <v>30.021198804010087</v>
      </c>
      <c r="Q19" s="63"/>
      <c r="R19" s="89">
        <f>+R5*1000/R18</f>
        <v>30.192432031366994</v>
      </c>
      <c r="S19" s="76"/>
      <c r="T19" s="89" t="e">
        <f>+T5*1000/T18</f>
        <v>#DIV/0!</v>
      </c>
      <c r="U19" s="18"/>
      <c r="V19" s="89" t="e">
        <f>+V5*1000/V18</f>
        <v>#DIV/0!</v>
      </c>
      <c r="W19" s="18"/>
      <c r="X19" s="89" t="e">
        <f>+X5*1000/X18</f>
        <v>#DIV/0!</v>
      </c>
      <c r="Y19" s="18"/>
      <c r="Z19" s="89" t="e">
        <f>+Z5*1000/Z18</f>
        <v>#DIV/0!</v>
      </c>
      <c r="AA19" s="18"/>
      <c r="AB19" s="18"/>
      <c r="AC19" s="89">
        <f>+AC5*1000/AC18</f>
        <v>30.140742360658784</v>
      </c>
      <c r="AD19" s="71"/>
      <c r="AE19" s="89">
        <f>+AE5*1000/AE18</f>
        <v>30.140742360658784</v>
      </c>
      <c r="AF19" s="71"/>
    </row>
    <row r="20" spans="2:32">
      <c r="B20" s="20" t="s">
        <v>32</v>
      </c>
      <c r="C20" s="18"/>
      <c r="D20" s="89">
        <f>+D12*1000/D18</f>
        <v>11.353612037856609</v>
      </c>
      <c r="E20" s="63"/>
      <c r="F20" s="89">
        <f>+F12*1000/F18</f>
        <v>11.156899075853234</v>
      </c>
      <c r="G20" s="63"/>
      <c r="H20" s="89">
        <f>+H12*1000/H18</f>
        <v>9.8590177302389268</v>
      </c>
      <c r="I20" s="63"/>
      <c r="J20" s="89">
        <f>+J12*1000/J18</f>
        <v>10.439290627550317</v>
      </c>
      <c r="K20" s="63"/>
      <c r="L20" s="89">
        <f>+L12*1000/L18</f>
        <v>10.700154177791394</v>
      </c>
      <c r="M20" s="63"/>
      <c r="N20" s="89">
        <f>+N12*1000/N18</f>
        <v>10.240223500376032</v>
      </c>
      <c r="O20" s="63"/>
      <c r="P20" s="89">
        <f>+P12*1000/P18</f>
        <v>16.443501201852612</v>
      </c>
      <c r="Q20" s="63"/>
      <c r="R20" s="89">
        <f>+R12*1000/R18</f>
        <v>12.699732618136768</v>
      </c>
      <c r="S20" s="76"/>
      <c r="T20" s="89" t="e">
        <f>+T12*1000/T18</f>
        <v>#DIV/0!</v>
      </c>
      <c r="U20" s="18"/>
      <c r="V20" s="89" t="e">
        <f>+V12*1000/V18</f>
        <v>#DIV/0!</v>
      </c>
      <c r="W20" s="18"/>
      <c r="X20" s="89" t="e">
        <f>+X12*1000/X18</f>
        <v>#DIV/0!</v>
      </c>
      <c r="Y20" s="18"/>
      <c r="Z20" s="89" t="e">
        <f>+Z12*1000/Z18</f>
        <v>#DIV/0!</v>
      </c>
      <c r="AA20" s="18"/>
      <c r="AB20" s="18"/>
      <c r="AC20" s="89">
        <f>+AC12*1000/AC18</f>
        <v>11.523286678755872</v>
      </c>
      <c r="AD20" s="71"/>
      <c r="AE20" s="89">
        <f>+AE12*1000/AE18</f>
        <v>11.523286678755872</v>
      </c>
      <c r="AF20" s="71"/>
    </row>
    <row r="21" spans="2:32">
      <c r="B21" s="20" t="s">
        <v>28</v>
      </c>
      <c r="C21" s="18"/>
      <c r="D21" s="89">
        <f>+D6*1000/D18</f>
        <v>0</v>
      </c>
      <c r="E21" s="64"/>
      <c r="F21" s="89">
        <f>+F6*1000/F18</f>
        <v>2.2112434806478176</v>
      </c>
      <c r="G21" s="64"/>
      <c r="H21" s="89">
        <f>+H6*1000/H18</f>
        <v>0</v>
      </c>
      <c r="I21" s="64"/>
      <c r="J21" s="89">
        <f>+J6*1000/J18</f>
        <v>1.1125803648080042</v>
      </c>
      <c r="K21" s="64"/>
      <c r="L21" s="89">
        <f>+L6*1000/L18</f>
        <v>2.3314220685429161</v>
      </c>
      <c r="M21" s="64"/>
      <c r="N21" s="89">
        <f>+N6*1000/N18</f>
        <v>1.0207293950660439</v>
      </c>
      <c r="O21" s="64"/>
      <c r="P21" s="89">
        <f>+P6*1000/P18</f>
        <v>0</v>
      </c>
      <c r="Q21" s="64"/>
      <c r="R21" s="89">
        <f>+R6*1000/R18</f>
        <v>1.2506883313139014</v>
      </c>
      <c r="S21" s="76"/>
      <c r="T21" s="89" t="e">
        <f>+T6*1000/T18</f>
        <v>#DIV/0!</v>
      </c>
      <c r="U21" s="18"/>
      <c r="V21" s="89" t="e">
        <f>+V6*1000/V18</f>
        <v>#DIV/0!</v>
      </c>
      <c r="W21" s="18"/>
      <c r="X21" s="89" t="e">
        <f>+X6*1000/X18</f>
        <v>#DIV/0!</v>
      </c>
      <c r="Y21" s="18"/>
      <c r="Z21" s="89" t="e">
        <f>+Z6*1000/Z18</f>
        <v>#DIV/0!</v>
      </c>
      <c r="AA21" s="18"/>
      <c r="AB21" s="18"/>
      <c r="AC21" s="89">
        <f>+AC6*1000/AC18</f>
        <v>0.98420757793387137</v>
      </c>
      <c r="AD21" s="71"/>
      <c r="AE21" s="89">
        <f>+AE6*1000/AE18</f>
        <v>0.98420757793387137</v>
      </c>
      <c r="AF21" s="71"/>
    </row>
    <row r="22" spans="2:32">
      <c r="B22" s="20" t="s">
        <v>29</v>
      </c>
      <c r="C22" s="18"/>
      <c r="D22" s="89">
        <f>+D8*1000/D18</f>
        <v>24.379383127936268</v>
      </c>
      <c r="E22" s="65"/>
      <c r="F22" s="89">
        <f>+F8*1000/F18</f>
        <v>28.191360142739502</v>
      </c>
      <c r="G22" s="65"/>
      <c r="H22" s="89">
        <f>+H8*1000/H18</f>
        <v>25.793036549813774</v>
      </c>
      <c r="I22" s="65"/>
      <c r="J22" s="89">
        <f>+J8*1000/J18</f>
        <v>24.213786817309831</v>
      </c>
      <c r="K22" s="65"/>
      <c r="L22" s="89">
        <f>+L8*1000/L18</f>
        <v>26.283986956712042</v>
      </c>
      <c r="M22" s="65"/>
      <c r="N22" s="89">
        <f>+N8*1000/N18</f>
        <v>26.348840658002054</v>
      </c>
      <c r="O22" s="65"/>
      <c r="P22" s="89">
        <f>+P8*1000/P18</f>
        <v>31.327888843290143</v>
      </c>
      <c r="Q22" s="65"/>
      <c r="R22" s="89">
        <f>+R8*1000/R18</f>
        <v>29.307473350305642</v>
      </c>
      <c r="S22" s="72"/>
      <c r="T22" s="89" t="e">
        <f>+T8*1000/T18</f>
        <v>#DIV/0!</v>
      </c>
      <c r="U22" s="18"/>
      <c r="V22" s="89" t="e">
        <f>+V8*1000/V18</f>
        <v>#DIV/0!</v>
      </c>
      <c r="W22" s="18"/>
      <c r="X22" s="89" t="e">
        <f>+X8*1000/X18</f>
        <v>#DIV/0!</v>
      </c>
      <c r="Y22" s="18"/>
      <c r="Z22" s="89" t="e">
        <f>+Z8*1000/Z18</f>
        <v>#DIV/0!</v>
      </c>
      <c r="AA22" s="18"/>
      <c r="AB22" s="18"/>
      <c r="AC22" s="89">
        <f>+AC8*1000/AC18</f>
        <v>26.867330363084125</v>
      </c>
      <c r="AD22" s="72"/>
      <c r="AE22" s="89">
        <f>+AE8*1000/AE18</f>
        <v>26.867330363084125</v>
      </c>
      <c r="AF22" s="72"/>
    </row>
    <row r="23" spans="2:32">
      <c r="B23" s="20" t="s">
        <v>30</v>
      </c>
      <c r="C23" s="18"/>
      <c r="D23" s="54">
        <f>+D7/D5</f>
        <v>1</v>
      </c>
      <c r="E23" s="66"/>
      <c r="F23" s="54">
        <f>+F7/F5</f>
        <v>0.92679032027197639</v>
      </c>
      <c r="G23" s="66"/>
      <c r="H23" s="54">
        <f>+H7/H5</f>
        <v>1</v>
      </c>
      <c r="I23" s="66"/>
      <c r="J23" s="54">
        <f>+J7/J5</f>
        <v>0.96315887324437177</v>
      </c>
      <c r="K23" s="66"/>
      <c r="L23" s="54">
        <f>+L7/L5</f>
        <v>0.92268737780654864</v>
      </c>
      <c r="M23" s="66"/>
      <c r="N23" s="54">
        <f>+N7/N5</f>
        <v>0.96620907153389191</v>
      </c>
      <c r="O23" s="66"/>
      <c r="P23" s="54">
        <f>+P7/P5</f>
        <v>1</v>
      </c>
      <c r="Q23" s="66"/>
      <c r="R23" s="54">
        <f>+R7/R5</f>
        <v>0.95857609847346659</v>
      </c>
      <c r="S23" s="73"/>
      <c r="T23" s="54" t="e">
        <f>+T7/T5</f>
        <v>#DIV/0!</v>
      </c>
      <c r="U23" s="18"/>
      <c r="V23" s="54" t="e">
        <f>+V7/V5</f>
        <v>#DIV/0!</v>
      </c>
      <c r="W23" s="18"/>
      <c r="X23" s="54" t="e">
        <f>+X7/X5</f>
        <v>#DIV/0!</v>
      </c>
      <c r="Y23" s="18"/>
      <c r="Z23" s="54" t="e">
        <f>+Z7/Z5</f>
        <v>#DIV/0!</v>
      </c>
      <c r="AA23" s="18"/>
      <c r="AB23" s="18"/>
      <c r="AC23" s="54">
        <f>+AC7/AC5</f>
        <v>0.96734627282377383</v>
      </c>
      <c r="AD23" s="73"/>
      <c r="AE23" s="54">
        <f>+AE7/AE5</f>
        <v>0.96734627282377383</v>
      </c>
      <c r="AF23" s="73"/>
    </row>
    <row r="24" spans="2:32" ht="7.5" customHeight="1">
      <c r="B24" s="18"/>
      <c r="E24" s="67"/>
      <c r="G24" s="67"/>
      <c r="I24" s="67"/>
      <c r="K24" s="67"/>
      <c r="M24" s="67"/>
      <c r="O24" s="67"/>
      <c r="Q24" s="67"/>
      <c r="S24" s="77"/>
      <c r="AD24" s="67"/>
      <c r="AF24" s="67"/>
    </row>
    <row r="25" spans="2:32">
      <c r="B25" s="22" t="s">
        <v>26</v>
      </c>
      <c r="C25" s="21"/>
      <c r="D25" s="23">
        <f>+D8/(1-D6/D5)</f>
        <v>2148.36</v>
      </c>
      <c r="E25" s="67"/>
      <c r="F25" s="23">
        <f>+F8/(1-F6/F5)</f>
        <v>2659.5303663472346</v>
      </c>
      <c r="G25" s="67"/>
      <c r="H25" s="23">
        <f>+H8/(1-H6/H5)</f>
        <v>2486.165</v>
      </c>
      <c r="I25" s="67"/>
      <c r="J25" s="23">
        <f>+J8/(1-J6/J5)</f>
        <v>2371.9814699982048</v>
      </c>
      <c r="K25" s="67"/>
      <c r="L25" s="23">
        <f>+L8/(1-L6/L5)</f>
        <v>2603.3096992290425</v>
      </c>
      <c r="M25" s="67"/>
      <c r="N25" s="23">
        <f>+N8/(1-N6/N5)</f>
        <v>2574.5100861565911</v>
      </c>
      <c r="O25" s="67"/>
      <c r="P25" s="23">
        <f>+P8/(1-P6/P5)</f>
        <v>2671.799</v>
      </c>
      <c r="Q25" s="67"/>
      <c r="R25" s="23">
        <f>+R8/(1-R6/R5)</f>
        <v>2245.7495481352103</v>
      </c>
      <c r="S25" s="77"/>
      <c r="T25" s="23" t="e">
        <f>+T8/(1-T6/T5)</f>
        <v>#DIV/0!</v>
      </c>
      <c r="V25" s="23" t="e">
        <f>+V8/(1-V6/V5)</f>
        <v>#DIV/0!</v>
      </c>
      <c r="X25" s="23" t="e">
        <f>+X8/(1-X6/X5)</f>
        <v>#DIV/0!</v>
      </c>
      <c r="Z25" s="23" t="e">
        <f>+Z8/(1-Z6/Z5)</f>
        <v>#DIV/0!</v>
      </c>
      <c r="AC25" s="34">
        <f>+AC8/(1-AC6/AC5)</f>
        <v>19742.696464060475</v>
      </c>
      <c r="AD25" s="74"/>
      <c r="AE25" s="34">
        <f>+AE8/(1-AE6/AE5)</f>
        <v>2467.8370580075593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R29" s="12"/>
    </row>
    <row r="30" spans="2:32">
      <c r="R30" s="12"/>
    </row>
    <row r="31" spans="2:32">
      <c r="R31" s="12"/>
    </row>
    <row r="32" spans="2:32"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5748031496062992" right="0.15748031496062992" top="0.59055118110236227" bottom="0.78740157480314965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R11" sqref="R1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8.7109375" customWidth="1"/>
    <col min="6" max="6" width="16.5703125" customWidth="1"/>
    <col min="7" max="7" width="8.7109375" customWidth="1"/>
    <col min="8" max="8" width="16.5703125" customWidth="1"/>
    <col min="9" max="9" width="8.7109375" customWidth="1"/>
    <col min="10" max="10" width="16.5703125" customWidth="1"/>
    <col min="11" max="11" width="8.7109375" customWidth="1"/>
    <col min="12" max="12" width="16.5703125" customWidth="1"/>
    <col min="13" max="13" width="8.7109375" customWidth="1"/>
    <col min="14" max="14" width="16.5703125" customWidth="1"/>
    <col min="15" max="15" width="8.7109375" customWidth="1"/>
    <col min="16" max="16" width="16.5703125" customWidth="1"/>
    <col min="17" max="17" width="8.7109375" customWidth="1"/>
    <col min="18" max="18" width="16.5703125" customWidth="1"/>
    <col min="19" max="19" width="8.7109375" customWidth="1"/>
    <col min="20" max="20" width="16.5703125" customWidth="1"/>
    <col min="21" max="21" width="8.7109375" customWidth="1"/>
    <col min="22" max="22" width="13.7109375" customWidth="1"/>
    <col min="23" max="23" width="8.7109375" customWidth="1"/>
    <col min="24" max="24" width="13.7109375" customWidth="1"/>
    <col min="25" max="25" width="8.7109375" customWidth="1"/>
    <col min="26" max="26" width="13.7109375" customWidth="1"/>
    <col min="27" max="27" width="9.85546875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  <c r="R1" s="56"/>
      <c r="S1" s="56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2:32">
      <c r="B2" s="50" t="s">
        <v>34</v>
      </c>
      <c r="C2" s="55"/>
      <c r="D2" s="3" t="s">
        <v>2</v>
      </c>
      <c r="E2" s="57" t="s">
        <v>11</v>
      </c>
      <c r="F2" s="3" t="s">
        <v>2</v>
      </c>
      <c r="G2" s="57" t="s">
        <v>11</v>
      </c>
      <c r="H2" s="3" t="s">
        <v>2</v>
      </c>
      <c r="I2" s="57" t="s">
        <v>11</v>
      </c>
      <c r="J2" s="3" t="s">
        <v>2</v>
      </c>
      <c r="K2" s="57" t="s">
        <v>11</v>
      </c>
      <c r="L2" s="3" t="s">
        <v>2</v>
      </c>
      <c r="M2" s="57" t="s">
        <v>11</v>
      </c>
      <c r="N2" s="3" t="s">
        <v>2</v>
      </c>
      <c r="O2" s="57" t="s">
        <v>11</v>
      </c>
      <c r="P2" s="3" t="s">
        <v>2</v>
      </c>
      <c r="Q2" s="57" t="s">
        <v>11</v>
      </c>
      <c r="R2" s="3" t="s">
        <v>2</v>
      </c>
      <c r="S2" s="57" t="s">
        <v>11</v>
      </c>
      <c r="T2" s="3" t="s">
        <v>2</v>
      </c>
      <c r="U2" s="57" t="s">
        <v>11</v>
      </c>
      <c r="V2" s="3" t="s">
        <v>2</v>
      </c>
      <c r="W2" s="57" t="s">
        <v>11</v>
      </c>
      <c r="X2" s="3" t="s">
        <v>2</v>
      </c>
      <c r="Y2" s="57" t="s">
        <v>11</v>
      </c>
      <c r="Z2" s="3" t="s">
        <v>2</v>
      </c>
      <c r="AA2" s="57" t="s">
        <v>11</v>
      </c>
      <c r="AB2" s="55"/>
      <c r="AC2" s="3" t="s">
        <v>2</v>
      </c>
      <c r="AD2" s="57" t="s">
        <v>21</v>
      </c>
      <c r="AE2" s="52" t="s">
        <v>14</v>
      </c>
      <c r="AF2" s="55"/>
    </row>
    <row r="3" spans="2:32">
      <c r="B3" s="52" t="s">
        <v>1</v>
      </c>
      <c r="C3" s="55"/>
      <c r="D3" s="4" t="s">
        <v>50</v>
      </c>
      <c r="E3" s="58" t="s">
        <v>13</v>
      </c>
      <c r="F3" s="4" t="s">
        <v>49</v>
      </c>
      <c r="G3" s="58" t="s">
        <v>13</v>
      </c>
      <c r="H3" s="4" t="s">
        <v>48</v>
      </c>
      <c r="I3" s="58" t="s">
        <v>13</v>
      </c>
      <c r="J3" s="4" t="s">
        <v>47</v>
      </c>
      <c r="K3" s="58" t="s">
        <v>13</v>
      </c>
      <c r="L3" s="4" t="s">
        <v>42</v>
      </c>
      <c r="M3" s="58" t="s">
        <v>13</v>
      </c>
      <c r="N3" s="4" t="s">
        <v>41</v>
      </c>
      <c r="O3" s="58" t="s">
        <v>13</v>
      </c>
      <c r="P3" s="4" t="s">
        <v>40</v>
      </c>
      <c r="Q3" s="58" t="s">
        <v>13</v>
      </c>
      <c r="R3" s="4" t="s">
        <v>39</v>
      </c>
      <c r="S3" s="58" t="s">
        <v>13</v>
      </c>
      <c r="T3" s="4" t="s">
        <v>43</v>
      </c>
      <c r="U3" s="58" t="s">
        <v>13</v>
      </c>
      <c r="V3" s="4" t="s">
        <v>44</v>
      </c>
      <c r="W3" s="58" t="s">
        <v>13</v>
      </c>
      <c r="X3" s="4" t="s">
        <v>45</v>
      </c>
      <c r="Y3" s="58" t="s">
        <v>13</v>
      </c>
      <c r="Z3" s="4" t="s">
        <v>46</v>
      </c>
      <c r="AA3" s="58" t="s">
        <v>13</v>
      </c>
      <c r="AB3" s="55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55"/>
      <c r="D4" s="52" t="s">
        <v>22</v>
      </c>
      <c r="E4" s="55"/>
      <c r="F4" s="52" t="s">
        <v>22</v>
      </c>
      <c r="G4" s="55"/>
      <c r="H4" s="52" t="s">
        <v>22</v>
      </c>
      <c r="I4" s="55"/>
      <c r="J4" s="52" t="s">
        <v>22</v>
      </c>
      <c r="K4" s="3"/>
      <c r="L4" s="52" t="s">
        <v>22</v>
      </c>
      <c r="M4" s="3"/>
      <c r="N4" s="52" t="s">
        <v>22</v>
      </c>
      <c r="O4" s="3"/>
      <c r="P4" s="52" t="s">
        <v>22</v>
      </c>
      <c r="Q4" s="37"/>
      <c r="R4" s="96" t="s">
        <v>22</v>
      </c>
      <c r="S4" s="37"/>
      <c r="T4" s="55"/>
      <c r="U4" s="55"/>
      <c r="V4" s="55"/>
      <c r="W4" s="55"/>
      <c r="X4" s="55"/>
      <c r="Y4" s="55"/>
      <c r="Z4" s="55"/>
      <c r="AA4" s="55"/>
      <c r="AB4" s="55"/>
      <c r="AC4" s="55"/>
      <c r="AD4" s="3"/>
      <c r="AE4" s="52">
        <v>8</v>
      </c>
      <c r="AF4" s="3"/>
    </row>
    <row r="5" spans="2:32">
      <c r="B5" s="10" t="s">
        <v>3</v>
      </c>
      <c r="C5" s="18"/>
      <c r="D5" s="9">
        <f>151.894+2455.3999</f>
        <v>2607.2938999999997</v>
      </c>
      <c r="E5" s="59">
        <f>+D5/D5</f>
        <v>1</v>
      </c>
      <c r="F5" s="9">
        <f>137.352+2449.263</f>
        <v>2586.6149999999998</v>
      </c>
      <c r="G5" s="59">
        <f>+F5/F5</f>
        <v>1</v>
      </c>
      <c r="H5" s="9">
        <f>164.411+2890.648</f>
        <v>3055.0590000000002</v>
      </c>
      <c r="I5" s="59">
        <f>+H5/H5</f>
        <v>1</v>
      </c>
      <c r="J5" s="9">
        <f>148.00077+2683.147</f>
        <v>2831.14777</v>
      </c>
      <c r="K5" s="59">
        <f>+J5/J5</f>
        <v>1</v>
      </c>
      <c r="L5" s="9">
        <f>136.27263+2549.66</f>
        <v>2685.9326299999998</v>
      </c>
      <c r="M5" s="59">
        <f>+L5/L5</f>
        <v>1</v>
      </c>
      <c r="N5" s="9">
        <f>155.175+2867.384</f>
        <v>3022.5590000000002</v>
      </c>
      <c r="O5" s="59">
        <f>+N5/$N$5</f>
        <v>1</v>
      </c>
      <c r="P5" s="9">
        <f>136.44+2385.15</f>
        <v>2521.59</v>
      </c>
      <c r="Q5" s="59">
        <f>+P5/$P$5</f>
        <v>1</v>
      </c>
      <c r="R5" s="9">
        <f>130.656+2284.013</f>
        <v>2414.6689999999999</v>
      </c>
      <c r="S5" s="68">
        <f>+R5/$R$5</f>
        <v>1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+P5+T5+V5+X5+Z5+N5+L5+J5+H5+D5+R5+F5</f>
        <v>21724.866300000002</v>
      </c>
      <c r="AD5" s="68">
        <f>+AC5/$AC$5</f>
        <v>1</v>
      </c>
      <c r="AE5" s="33">
        <f>+AC5/$AE$4</f>
        <v>2715.6082875000002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90.078860000000006</v>
      </c>
      <c r="G6" s="60">
        <f>+F6/F5</f>
        <v>3.482499714878326E-2</v>
      </c>
      <c r="H6" s="11">
        <v>4.5069999999999997</v>
      </c>
      <c r="I6" s="60">
        <f>+H6/H5</f>
        <v>1.4752579246423718E-3</v>
      </c>
      <c r="J6" s="11">
        <v>103.43600000000001</v>
      </c>
      <c r="K6" s="60">
        <f>+J6/J5</f>
        <v>3.6535005730202491E-2</v>
      </c>
      <c r="L6" s="11">
        <v>0</v>
      </c>
      <c r="M6" s="60">
        <f>+L6/L5</f>
        <v>0</v>
      </c>
      <c r="N6" s="11">
        <v>129.55713</v>
      </c>
      <c r="O6" s="60">
        <f>+N6/$N$5</f>
        <v>4.2863391583092339E-2</v>
      </c>
      <c r="P6" s="11">
        <v>349.08199999999999</v>
      </c>
      <c r="Q6" s="60">
        <f>+P6/$P$5</f>
        <v>0.1384372558584068</v>
      </c>
      <c r="R6" s="11">
        <v>0</v>
      </c>
      <c r="S6" s="69">
        <f>+R6/$R$5</f>
        <v>0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+P6+T6+V6+X6+Z6+N6+L6+J6+H6+D6+R6+F6</f>
        <v>676.66098999999997</v>
      </c>
      <c r="AD6" s="69">
        <f>+AC6/$AC$5</f>
        <v>3.1146842546966556E-2</v>
      </c>
      <c r="AE6" s="15">
        <f t="shared" ref="AE6:AE9" si="0">+AC6/$AE$4</f>
        <v>84.582623749999996</v>
      </c>
      <c r="AF6" s="62"/>
    </row>
    <row r="7" spans="2:32">
      <c r="B7" s="10" t="s">
        <v>7</v>
      </c>
      <c r="C7" s="18"/>
      <c r="D7" s="8">
        <f>+D5-D6</f>
        <v>2607.2938999999997</v>
      </c>
      <c r="E7" s="61">
        <f>+D7/D5</f>
        <v>1</v>
      </c>
      <c r="F7" s="8">
        <f>+F5-F6</f>
        <v>2496.5361399999997</v>
      </c>
      <c r="G7" s="61">
        <f>+F7/F5</f>
        <v>0.96517500285121671</v>
      </c>
      <c r="H7" s="8">
        <f>+H5-H6</f>
        <v>3050.5520000000001</v>
      </c>
      <c r="I7" s="61">
        <f>+H7/H5</f>
        <v>0.99852474207535757</v>
      </c>
      <c r="J7" s="8">
        <f>+J5-J6</f>
        <v>2727.7117699999999</v>
      </c>
      <c r="K7" s="61">
        <f>+J7/J5</f>
        <v>0.96346499426979748</v>
      </c>
      <c r="L7" s="8">
        <f>+L5-L6</f>
        <v>2685.9326299999998</v>
      </c>
      <c r="M7" s="61">
        <f>+L7/L5</f>
        <v>1</v>
      </c>
      <c r="N7" s="8">
        <f>+N5-N6</f>
        <v>2893.0018700000001</v>
      </c>
      <c r="O7" s="61">
        <f>+N7/$N$5</f>
        <v>0.95713660841690762</v>
      </c>
      <c r="P7" s="8">
        <f>+P5-P6</f>
        <v>2172.5080000000003</v>
      </c>
      <c r="Q7" s="61">
        <f>+P7/$P$5</f>
        <v>0.86156274414159328</v>
      </c>
      <c r="R7" s="8">
        <f>+R5-R6</f>
        <v>2414.6689999999999</v>
      </c>
      <c r="S7" s="69">
        <f>+R7/$R$5</f>
        <v>1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+P7+T7+V7+X7+Z7+N7+L7+J7+H7+D7+R7+F7</f>
        <v>21048.205310000001</v>
      </c>
      <c r="AD7" s="69">
        <f>+AC7/$AC$5</f>
        <v>0.96885315745303346</v>
      </c>
      <c r="AE7" s="13">
        <f t="shared" si="0"/>
        <v>2631.0256637500001</v>
      </c>
      <c r="AF7" s="62"/>
    </row>
    <row r="8" spans="2:32">
      <c r="B8" s="7" t="s">
        <v>5</v>
      </c>
      <c r="C8" s="18"/>
      <c r="D8" s="11">
        <v>2092.6439</v>
      </c>
      <c r="E8" s="60">
        <f>+D8/D5</f>
        <v>0.80261143555776371</v>
      </c>
      <c r="F8" s="11">
        <v>2215.4299999999998</v>
      </c>
      <c r="G8" s="60">
        <f>+F8/F5</f>
        <v>0.85649777798396742</v>
      </c>
      <c r="H8" s="11">
        <f>235.385+2227.2736-4.507</f>
        <v>2458.1515999999997</v>
      </c>
      <c r="I8" s="60">
        <f>+H8/H5</f>
        <v>0.80461673571606951</v>
      </c>
      <c r="J8" s="11">
        <v>2327.2321700000002</v>
      </c>
      <c r="K8" s="60">
        <f>+J8/J5</f>
        <v>0.82201013831220837</v>
      </c>
      <c r="L8" s="11">
        <f>2087.933+203.572</f>
        <v>2291.5050000000001</v>
      </c>
      <c r="M8" s="60">
        <f>+L8/L5</f>
        <v>0.85315058702719593</v>
      </c>
      <c r="N8" s="11">
        <v>2542.2629999999999</v>
      </c>
      <c r="O8" s="60">
        <f>+N8/$N$5</f>
        <v>0.84109623666568623</v>
      </c>
      <c r="P8" s="11">
        <f>2973.917+266.59444-349.08234</f>
        <v>2891.4290999999998</v>
      </c>
      <c r="Q8" s="60">
        <f>+P8/$P$5</f>
        <v>1.1466690064602094</v>
      </c>
      <c r="R8" s="11">
        <f>1971.4929+205.571</f>
        <v>2177.0639000000001</v>
      </c>
      <c r="S8" s="69">
        <f>+R8/$R$5</f>
        <v>0.90159930822816714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31">
        <v>0</v>
      </c>
      <c r="AA8" s="60" t="e">
        <f>+Z8/$Z$5</f>
        <v>#DIV/0!</v>
      </c>
      <c r="AB8" s="18"/>
      <c r="AC8" s="97">
        <f>+P8+T8+V8+X8+Z8+N8+L8+J8+H8+D8+R8+F8</f>
        <v>18995.718670000002</v>
      </c>
      <c r="AD8" s="69">
        <f>+AC8/$AC$5</f>
        <v>0.87437678131993846</v>
      </c>
      <c r="AE8" s="15">
        <f t="shared" si="0"/>
        <v>2374.4648337500003</v>
      </c>
      <c r="AF8" s="62"/>
    </row>
    <row r="9" spans="2:32">
      <c r="B9" s="20" t="s">
        <v>15</v>
      </c>
      <c r="C9" s="18"/>
      <c r="D9" s="16">
        <f>+D5-D6-D8</f>
        <v>514.64999999999964</v>
      </c>
      <c r="E9" s="59">
        <f>+D9/D5</f>
        <v>0.19738856444223635</v>
      </c>
      <c r="F9" s="16">
        <f>+F5-F6-F8</f>
        <v>281.10613999999987</v>
      </c>
      <c r="G9" s="59">
        <f>+F9/F5</f>
        <v>0.10867722486724923</v>
      </c>
      <c r="H9" s="16">
        <f>+H5-H6-H8</f>
        <v>592.40040000000045</v>
      </c>
      <c r="I9" s="59">
        <f>+H9/H5</f>
        <v>0.19390800635928812</v>
      </c>
      <c r="J9" s="16">
        <f>+J5-J6-J8</f>
        <v>400.47959999999966</v>
      </c>
      <c r="K9" s="59">
        <f>+J9/J5</f>
        <v>0.14145485595758911</v>
      </c>
      <c r="L9" s="16">
        <f>+L5-L6-L8</f>
        <v>394.42762999999968</v>
      </c>
      <c r="M9" s="59">
        <f>+L9/L5</f>
        <v>0.14684941297280404</v>
      </c>
      <c r="N9" s="16">
        <f>+N5-N6-N8</f>
        <v>350.73887000000013</v>
      </c>
      <c r="O9" s="59">
        <f>+N9/$N$5</f>
        <v>0.11604037175122144</v>
      </c>
      <c r="P9" s="16">
        <f>+P5-P6-P8</f>
        <v>-718.92109999999957</v>
      </c>
      <c r="Q9" s="59">
        <f>+P9/$P$5</f>
        <v>-0.28510626231861624</v>
      </c>
      <c r="R9" s="16">
        <f>+R5-R6-R8</f>
        <v>237.60509999999977</v>
      </c>
      <c r="S9" s="68">
        <f>+R9/$R$5</f>
        <v>9.8400691771832818E-2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v>0</v>
      </c>
      <c r="AA9" s="59" t="e">
        <f>+Z9/$Z$5</f>
        <v>#DIV/0!</v>
      </c>
      <c r="AB9" s="18"/>
      <c r="AC9" s="98">
        <f>+P9+T9+V9+X9+Z9+N9+L9+J9+H9+D9+R9+F9</f>
        <v>2052.4866399999996</v>
      </c>
      <c r="AD9" s="68">
        <f>+AC9/$AC$5</f>
        <v>9.447637613309498E-2</v>
      </c>
      <c r="AE9" s="32">
        <f t="shared" si="0"/>
        <v>256.56082999999995</v>
      </c>
      <c r="AF9" s="62"/>
    </row>
    <row r="10" spans="2:32" ht="7.5" customHeight="1">
      <c r="B10" s="18"/>
      <c r="C10" s="18"/>
      <c r="D10" s="35"/>
      <c r="E10" s="18"/>
      <c r="F10" s="35"/>
      <c r="G10" s="18"/>
      <c r="H10" s="35"/>
      <c r="I10" s="18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11">
        <v>52</v>
      </c>
      <c r="E11" s="18"/>
      <c r="F11" s="11">
        <v>52</v>
      </c>
      <c r="G11" s="18"/>
      <c r="H11" s="11">
        <v>52</v>
      </c>
      <c r="I11" s="18"/>
      <c r="J11" s="11">
        <v>53</v>
      </c>
      <c r="K11" s="88"/>
      <c r="L11" s="11">
        <v>53</v>
      </c>
      <c r="M11" s="88"/>
      <c r="N11" s="11">
        <v>54</v>
      </c>
      <c r="O11" s="88"/>
      <c r="P11" s="11">
        <v>55</v>
      </c>
      <c r="Q11" s="88"/>
      <c r="R11" s="101">
        <v>55</v>
      </c>
      <c r="S11" s="75"/>
      <c r="T11" s="91">
        <v>0</v>
      </c>
      <c r="U11" s="18"/>
      <c r="V11" s="91">
        <v>0</v>
      </c>
      <c r="W11" s="18"/>
      <c r="X11" s="91">
        <v>0</v>
      </c>
      <c r="Y11" s="18"/>
      <c r="Z11" s="18">
        <v>0</v>
      </c>
      <c r="AA11" s="18"/>
      <c r="AB11" s="18"/>
      <c r="AC11" s="97">
        <f>+P11+T11+V11+X11+Z11+N11+L11+J11+H11+D11+R11+F11</f>
        <v>426</v>
      </c>
      <c r="AD11" s="62"/>
      <c r="AE11" s="15">
        <f t="shared" ref="AE11:AE12" si="1">+AC11/$AE$4</f>
        <v>53.25</v>
      </c>
      <c r="AF11" s="62"/>
    </row>
    <row r="12" spans="2:32">
      <c r="B12" s="19" t="s">
        <v>16</v>
      </c>
      <c r="C12" s="18"/>
      <c r="D12" s="11">
        <v>994.89368999999999</v>
      </c>
      <c r="E12" s="18"/>
      <c r="F12" s="11">
        <v>1054.039</v>
      </c>
      <c r="G12" s="18"/>
      <c r="H12" s="11">
        <v>994.52099999999996</v>
      </c>
      <c r="I12" s="18"/>
      <c r="J12" s="11">
        <v>964.58941000000004</v>
      </c>
      <c r="K12" s="88"/>
      <c r="L12" s="11">
        <v>1055.1569999999999</v>
      </c>
      <c r="M12" s="88"/>
      <c r="N12" s="11">
        <v>1034</v>
      </c>
      <c r="O12" s="88"/>
      <c r="P12" s="11">
        <v>1454.5840000000001</v>
      </c>
      <c r="Q12" s="88"/>
      <c r="R12" s="91">
        <v>1030.46946</v>
      </c>
      <c r="S12" s="75"/>
      <c r="T12" s="91">
        <v>0</v>
      </c>
      <c r="U12" s="18"/>
      <c r="V12" s="91">
        <v>0</v>
      </c>
      <c r="W12" s="18"/>
      <c r="X12" s="91">
        <v>0</v>
      </c>
      <c r="Y12" s="18"/>
      <c r="Z12" s="91">
        <v>0</v>
      </c>
      <c r="AA12" s="18"/>
      <c r="AB12" s="18"/>
      <c r="AC12" s="97">
        <f>+P12+T12+V12+X12+Z12+N12+L12+J12+H12+D12+R12+F12</f>
        <v>8582.253560000001</v>
      </c>
      <c r="AD12" s="62"/>
      <c r="AE12" s="15">
        <f t="shared" si="1"/>
        <v>1072.7816950000001</v>
      </c>
      <c r="AF12" s="62"/>
    </row>
    <row r="13" spans="2:32">
      <c r="B13" s="20" t="s">
        <v>19</v>
      </c>
      <c r="C13" s="18"/>
      <c r="D13" s="36">
        <f>+D12/D5</f>
        <v>0.38158095257308744</v>
      </c>
      <c r="E13" s="18"/>
      <c r="F13" s="36">
        <f>+F12/F5</f>
        <v>0.40749744357007134</v>
      </c>
      <c r="G13" s="18"/>
      <c r="H13" s="36">
        <f>+H12/H5</f>
        <v>0.3255325019909599</v>
      </c>
      <c r="I13" s="18"/>
      <c r="J13" s="36">
        <f>+J12/J5</f>
        <v>0.34070613347038398</v>
      </c>
      <c r="K13" s="62"/>
      <c r="L13" s="36">
        <f>+L12/L5</f>
        <v>0.39284566865699833</v>
      </c>
      <c r="M13" s="62"/>
      <c r="N13" s="36">
        <f>+N12/N5</f>
        <v>0.34209423207288919</v>
      </c>
      <c r="O13" s="62"/>
      <c r="P13" s="36">
        <f>+P12/P5</f>
        <v>0.57685190693173749</v>
      </c>
      <c r="Q13" s="62"/>
      <c r="R13" s="38">
        <f>+R12/R5</f>
        <v>0.4267539194813037</v>
      </c>
      <c r="S13" s="75"/>
      <c r="T13" s="38" t="e">
        <f>+T12/T5</f>
        <v>#DIV/0!</v>
      </c>
      <c r="U13" s="18"/>
      <c r="V13" s="38" t="e">
        <f>+V12/V5</f>
        <v>#DIV/0!</v>
      </c>
      <c r="W13" s="18"/>
      <c r="X13" s="38" t="e">
        <f>+X12/X5</f>
        <v>#DIV/0!</v>
      </c>
      <c r="Y13" s="18"/>
      <c r="Z13" s="38" t="e">
        <f>Z12/Z5</f>
        <v>#DIV/0!</v>
      </c>
      <c r="AA13" s="18"/>
      <c r="AB13" s="18"/>
      <c r="AC13" s="38">
        <f>+AC12/AC5</f>
        <v>0.39504287121895892</v>
      </c>
      <c r="AD13" s="62"/>
      <c r="AE13" s="38">
        <f>+AE12/AE5</f>
        <v>0.39504287121895892</v>
      </c>
      <c r="AF13" s="62"/>
    </row>
    <row r="14" spans="2:32">
      <c r="B14" s="20" t="s">
        <v>17</v>
      </c>
      <c r="C14" s="18"/>
      <c r="D14" s="8">
        <f>+D5/D11</f>
        <v>50.140267307692298</v>
      </c>
      <c r="E14" s="18"/>
      <c r="F14" s="8">
        <f>+F5/F11</f>
        <v>49.742596153846151</v>
      </c>
      <c r="G14" s="18"/>
      <c r="H14" s="8">
        <f>+H5/H11</f>
        <v>58.751134615384622</v>
      </c>
      <c r="I14" s="18"/>
      <c r="J14" s="8">
        <f>+J5/J11</f>
        <v>53.417882452830192</v>
      </c>
      <c r="K14" s="62"/>
      <c r="L14" s="8">
        <f>+L5/L11</f>
        <v>50.677974150943392</v>
      </c>
      <c r="M14" s="62"/>
      <c r="N14" s="8">
        <f>+N5/N11</f>
        <v>55.97331481481482</v>
      </c>
      <c r="O14" s="62"/>
      <c r="P14" s="8">
        <f>+P5/P11</f>
        <v>45.847090909090909</v>
      </c>
      <c r="Q14" s="62"/>
      <c r="R14" s="39">
        <f>+R5/R11</f>
        <v>43.903072727272722</v>
      </c>
      <c r="S14" s="75"/>
      <c r="T14" s="39" t="e">
        <f>+T5/T11</f>
        <v>#DIV/0!</v>
      </c>
      <c r="U14" s="18"/>
      <c r="V14" s="39" t="e">
        <f>+V5/V11</f>
        <v>#DIV/0!</v>
      </c>
      <c r="W14" s="18"/>
      <c r="X14" s="39" t="e">
        <f>+X5/X11</f>
        <v>#DIV/0!</v>
      </c>
      <c r="Y14" s="18"/>
      <c r="Z14" s="39" t="e">
        <f>+Z5/Z11</f>
        <v>#DIV/0!</v>
      </c>
      <c r="AA14" s="18"/>
      <c r="AB14" s="18"/>
      <c r="AC14" s="39">
        <f>+AC5/AC11</f>
        <v>50.997338732394368</v>
      </c>
      <c r="AD14" s="62"/>
      <c r="AE14" s="39">
        <f>+AE5/AE11</f>
        <v>50.997338732394368</v>
      </c>
      <c r="AF14" s="62"/>
    </row>
    <row r="15" spans="2:32">
      <c r="B15" s="10" t="s">
        <v>31</v>
      </c>
      <c r="C15" s="18"/>
      <c r="D15" s="8">
        <f>+D12/D11</f>
        <v>19.132570961538462</v>
      </c>
      <c r="E15" s="18"/>
      <c r="F15" s="8">
        <f>+F12/F11</f>
        <v>20.26998076923077</v>
      </c>
      <c r="G15" s="18"/>
      <c r="H15" s="8">
        <f>+H12/H11</f>
        <v>19.125403846153844</v>
      </c>
      <c r="I15" s="18"/>
      <c r="J15" s="8">
        <f>+J12/J11</f>
        <v>18.199800188679244</v>
      </c>
      <c r="K15" s="62"/>
      <c r="L15" s="8">
        <f>+L12/L11</f>
        <v>19.908622641509432</v>
      </c>
      <c r="M15" s="62"/>
      <c r="N15" s="8">
        <f>+N12/N11</f>
        <v>19.148148148148149</v>
      </c>
      <c r="O15" s="62"/>
      <c r="P15" s="8">
        <f>+P12/P11</f>
        <v>26.446981818181818</v>
      </c>
      <c r="Q15" s="62"/>
      <c r="R15" s="39">
        <f>+R12/R11</f>
        <v>18.735808363636362</v>
      </c>
      <c r="S15" s="75"/>
      <c r="T15" s="39" t="e">
        <f>+T12/T11</f>
        <v>#DIV/0!</v>
      </c>
      <c r="U15" s="18"/>
      <c r="V15" s="39" t="e">
        <f>+V12/V11</f>
        <v>#DIV/0!</v>
      </c>
      <c r="W15" s="18"/>
      <c r="X15" s="39" t="e">
        <f>+X12/X11</f>
        <v>#DIV/0!</v>
      </c>
      <c r="Y15" s="18"/>
      <c r="Z15" s="39" t="e">
        <f>+Z12/Z11</f>
        <v>#DIV/0!</v>
      </c>
      <c r="AA15" s="18"/>
      <c r="AB15" s="18"/>
      <c r="AC15" s="39">
        <f>+AC12/AC11</f>
        <v>20.146135117370893</v>
      </c>
      <c r="AD15" s="62"/>
      <c r="AE15" s="39">
        <f>+AE12/AE11</f>
        <v>20.146135117370893</v>
      </c>
      <c r="AF15" s="62"/>
    </row>
    <row r="16" spans="2:32">
      <c r="B16" s="20" t="s">
        <v>20</v>
      </c>
      <c r="C16" s="18"/>
      <c r="D16" s="36">
        <f>+D12/D7</f>
        <v>0.38158095257308744</v>
      </c>
      <c r="E16" s="18"/>
      <c r="F16" s="36">
        <f>+F12/F7</f>
        <v>0.42220057747691975</v>
      </c>
      <c r="G16" s="18"/>
      <c r="H16" s="36">
        <f>+H12/H7</f>
        <v>0.3260134559253538</v>
      </c>
      <c r="I16" s="18"/>
      <c r="J16" s="36">
        <f>+J12/J7</f>
        <v>0.3536258561512165</v>
      </c>
      <c r="K16" s="62"/>
      <c r="L16" s="36">
        <f>+L12/L7</f>
        <v>0.39284566865699833</v>
      </c>
      <c r="M16" s="62"/>
      <c r="N16" s="36">
        <f>+N12/N7</f>
        <v>0.35741421764100001</v>
      </c>
      <c r="O16" s="62"/>
      <c r="P16" s="36">
        <f>+P12/P7</f>
        <v>0.66954137798341817</v>
      </c>
      <c r="Q16" s="62"/>
      <c r="R16" s="38">
        <f>+R12/R7</f>
        <v>0.4267539194813037</v>
      </c>
      <c r="S16" s="75"/>
      <c r="T16" s="38" t="e">
        <f>+T12/T7</f>
        <v>#DIV/0!</v>
      </c>
      <c r="U16" s="18"/>
      <c r="V16" s="38" t="e">
        <f>+V12/V7</f>
        <v>#DIV/0!</v>
      </c>
      <c r="W16" s="18"/>
      <c r="X16" s="38" t="e">
        <f>+X12/X7</f>
        <v>#DIV/0!</v>
      </c>
      <c r="Y16" s="18"/>
      <c r="Z16" s="38" t="e">
        <f>+Z12/Z7</f>
        <v>#DIV/0!</v>
      </c>
      <c r="AA16" s="18"/>
      <c r="AB16" s="18"/>
      <c r="AC16" s="38">
        <f>+AC12/AC7</f>
        <v>0.40774277111039831</v>
      </c>
      <c r="AD16" s="62"/>
      <c r="AE16" s="38">
        <f>+AE12/AE7</f>
        <v>0.40774277111039831</v>
      </c>
      <c r="AF16" s="62"/>
    </row>
    <row r="17" spans="2:32" ht="7.5" customHeight="1">
      <c r="B17" s="7"/>
      <c r="C17" s="18"/>
      <c r="D17" s="35"/>
      <c r="E17" s="18"/>
      <c r="F17" s="35"/>
      <c r="G17" s="18"/>
      <c r="H17" s="35"/>
      <c r="I17" s="18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86868.64</v>
      </c>
      <c r="E18" s="18"/>
      <c r="F18" s="11">
        <v>85937</v>
      </c>
      <c r="G18" s="18"/>
      <c r="H18" s="11">
        <v>101299</v>
      </c>
      <c r="I18" s="18"/>
      <c r="J18" s="11">
        <v>94225</v>
      </c>
      <c r="K18" s="63"/>
      <c r="L18" s="11">
        <v>88788</v>
      </c>
      <c r="M18" s="63"/>
      <c r="N18" s="11">
        <v>100119</v>
      </c>
      <c r="O18" s="63"/>
      <c r="P18" s="11">
        <v>83980</v>
      </c>
      <c r="Q18" s="63"/>
      <c r="R18" s="11">
        <v>79968</v>
      </c>
      <c r="S18" s="76"/>
      <c r="T18" s="91">
        <v>0</v>
      </c>
      <c r="U18" s="18"/>
      <c r="V18" s="91">
        <v>0</v>
      </c>
      <c r="W18" s="18"/>
      <c r="X18" s="91">
        <v>0</v>
      </c>
      <c r="Y18" s="18"/>
      <c r="Z18" s="91">
        <v>0</v>
      </c>
      <c r="AA18" s="18"/>
      <c r="AB18" s="18"/>
      <c r="AC18" s="97">
        <f>+P18+T18+V18+X18+Z18+N18+L18+J18+H18+D18+R18+F18</f>
        <v>721184.64</v>
      </c>
      <c r="AD18" s="71"/>
      <c r="AE18" s="15">
        <f t="shared" ref="AE18" si="2">+AC18/$AE$4</f>
        <v>90148.08</v>
      </c>
      <c r="AF18" s="71"/>
    </row>
    <row r="19" spans="2:32">
      <c r="B19" s="20" t="s">
        <v>27</v>
      </c>
      <c r="C19" s="18"/>
      <c r="D19" s="89">
        <f>+D5*1000/D18</f>
        <v>30.014213414645372</v>
      </c>
      <c r="E19" s="18"/>
      <c r="F19" s="89">
        <f>+F5*1000/F18</f>
        <v>30.098967848540209</v>
      </c>
      <c r="G19" s="18"/>
      <c r="H19" s="89">
        <f>+H5*1000/H18</f>
        <v>30.158826839356756</v>
      </c>
      <c r="I19" s="18"/>
      <c r="J19" s="89">
        <f>+J5*1000/J18</f>
        <v>30.046673069779782</v>
      </c>
      <c r="K19" s="63"/>
      <c r="L19" s="89">
        <f>+L5*1000/L18</f>
        <v>30.251077059963055</v>
      </c>
      <c r="M19" s="63"/>
      <c r="N19" s="89">
        <f>+N5*1000/N18</f>
        <v>30.189664299483614</v>
      </c>
      <c r="O19" s="63"/>
      <c r="P19" s="89">
        <f>+P5*1000/P18</f>
        <v>30.026077637532747</v>
      </c>
      <c r="Q19" s="63"/>
      <c r="R19" s="90">
        <f>+R5*1000/R18</f>
        <v>30.195440676270508</v>
      </c>
      <c r="S19" s="76"/>
      <c r="T19" s="90" t="e">
        <f>+T5*1000/T18</f>
        <v>#DIV/0!</v>
      </c>
      <c r="U19" s="18"/>
      <c r="V19" s="90" t="e">
        <f>+V5*1000/V18</f>
        <v>#DIV/0!</v>
      </c>
      <c r="W19" s="18"/>
      <c r="X19" s="90" t="e">
        <f>+X5*1000/X18</f>
        <v>#DIV/0!</v>
      </c>
      <c r="Y19" s="18"/>
      <c r="Z19" s="90" t="e">
        <f>+Z5*1000/Z18</f>
        <v>#DIV/0!</v>
      </c>
      <c r="AA19" s="18"/>
      <c r="AB19" s="18"/>
      <c r="AC19" s="89">
        <f>+AC5*1000/AC18</f>
        <v>30.12386162300961</v>
      </c>
      <c r="AD19" s="71"/>
      <c r="AE19" s="89">
        <f>+AE5*1000/AE18</f>
        <v>30.12386162300961</v>
      </c>
      <c r="AF19" s="71"/>
    </row>
    <row r="20" spans="2:32">
      <c r="B20" s="20" t="s">
        <v>32</v>
      </c>
      <c r="C20" s="18"/>
      <c r="D20" s="89">
        <f>+D12*1000/D18</f>
        <v>11.45285214549232</v>
      </c>
      <c r="E20" s="18"/>
      <c r="F20" s="89">
        <f>+F12*1000/F18</f>
        <v>12.265252452377904</v>
      </c>
      <c r="G20" s="18"/>
      <c r="H20" s="89">
        <f>+H12*1000/H18</f>
        <v>9.8176783581279192</v>
      </c>
      <c r="I20" s="18"/>
      <c r="J20" s="89">
        <f>+J12*1000/J18</f>
        <v>10.237085805253383</v>
      </c>
      <c r="K20" s="63"/>
      <c r="L20" s="89">
        <f>+L12*1000/L18</f>
        <v>11.88400459521557</v>
      </c>
      <c r="M20" s="63"/>
      <c r="N20" s="89">
        <f>+N12*1000/N18</f>
        <v>10.327710025070166</v>
      </c>
      <c r="O20" s="63"/>
      <c r="P20" s="89">
        <f>+P12*1000/P18</f>
        <v>17.320600142891166</v>
      </c>
      <c r="Q20" s="63"/>
      <c r="R20" s="90">
        <f>+R12*1000/R18</f>
        <v>12.886022659063627</v>
      </c>
      <c r="S20" s="76"/>
      <c r="T20" s="90" t="e">
        <f>+T12*1000/T18</f>
        <v>#DIV/0!</v>
      </c>
      <c r="U20" s="18"/>
      <c r="V20" s="90" t="e">
        <f>+V12*1000/V18</f>
        <v>#DIV/0!</v>
      </c>
      <c r="W20" s="18"/>
      <c r="X20" s="90" t="e">
        <f>+X12*1000/X18</f>
        <v>#DIV/0!</v>
      </c>
      <c r="Y20" s="18"/>
      <c r="Z20" s="90" t="e">
        <f>+Z12*1000/Z18</f>
        <v>#DIV/0!</v>
      </c>
      <c r="AA20" s="18"/>
      <c r="AB20" s="49"/>
      <c r="AC20" s="89">
        <f>+AC12*1000/AC18</f>
        <v>11.900216787756323</v>
      </c>
      <c r="AD20" s="90"/>
      <c r="AE20" s="89">
        <f>+AE12*1000/AE18</f>
        <v>11.900216787756323</v>
      </c>
      <c r="AF20" s="76"/>
    </row>
    <row r="21" spans="2:32">
      <c r="B21" s="20" t="s">
        <v>28</v>
      </c>
      <c r="C21" s="18"/>
      <c r="D21" s="89">
        <f>+D6*1000/D18</f>
        <v>0</v>
      </c>
      <c r="E21" s="18"/>
      <c r="F21" s="89">
        <f>+F6*1000/F18</f>
        <v>1.0481964695067316</v>
      </c>
      <c r="G21" s="18"/>
      <c r="H21" s="89">
        <f>+H6*1000/H18</f>
        <v>4.449204829267811E-2</v>
      </c>
      <c r="I21" s="18"/>
      <c r="J21" s="89">
        <f>+J6*1000/J18</f>
        <v>1.0977553727779252</v>
      </c>
      <c r="K21" s="64"/>
      <c r="L21" s="89">
        <f>+L6*1000/L18</f>
        <v>0</v>
      </c>
      <c r="M21" s="64"/>
      <c r="N21" s="89">
        <f>+N6*1000/N18</f>
        <v>1.2940314026308692</v>
      </c>
      <c r="O21" s="64"/>
      <c r="P21" s="89">
        <f>+P6*1000/P18</f>
        <v>4.1567277923315071</v>
      </c>
      <c r="Q21" s="64"/>
      <c r="R21" s="90">
        <f>+R6*1000/R18</f>
        <v>0</v>
      </c>
      <c r="S21" s="76"/>
      <c r="T21" s="90" t="e">
        <f>+T6*1000/T18</f>
        <v>#DIV/0!</v>
      </c>
      <c r="U21" s="18"/>
      <c r="V21" s="90" t="e">
        <f>+V6*1000/V18</f>
        <v>#DIV/0!</v>
      </c>
      <c r="W21" s="18"/>
      <c r="X21" s="90" t="e">
        <f>+X6*1000/X18</f>
        <v>#DIV/0!</v>
      </c>
      <c r="Y21" s="18"/>
      <c r="Z21" s="90" t="e">
        <f>+Z6*1000/Z18</f>
        <v>#DIV/0!</v>
      </c>
      <c r="AA21" s="18"/>
      <c r="AB21" s="18"/>
      <c r="AC21" s="89">
        <f>+AC6*1000/AC18</f>
        <v>0.93826317487848876</v>
      </c>
      <c r="AD21" s="71"/>
      <c r="AE21" s="89">
        <f>+AE6*1000/AE18</f>
        <v>0.93826317487848876</v>
      </c>
      <c r="AF21" s="71"/>
    </row>
    <row r="22" spans="2:32">
      <c r="B22" s="20" t="s">
        <v>29</v>
      </c>
      <c r="C22" s="18"/>
      <c r="D22" s="89">
        <f>+D8*1000/D18</f>
        <v>24.089750915865611</v>
      </c>
      <c r="E22" s="18"/>
      <c r="F22" s="89">
        <f>+F8*1000/F18</f>
        <v>25.779699081885568</v>
      </c>
      <c r="G22" s="18"/>
      <c r="H22" s="89">
        <f>+H8*1000/H18</f>
        <v>24.26629680450942</v>
      </c>
      <c r="I22" s="18"/>
      <c r="J22" s="89">
        <f>+J8*1000/J18</f>
        <v>24.698669885911386</v>
      </c>
      <c r="K22" s="65"/>
      <c r="L22" s="89">
        <f>+L8*1000/L18</f>
        <v>25.808724151912422</v>
      </c>
      <c r="M22" s="65"/>
      <c r="N22" s="89">
        <f>+N8*1000/N18</f>
        <v>25.39241302849609</v>
      </c>
      <c r="O22" s="65"/>
      <c r="P22" s="89">
        <f>+P8*1000/P18</f>
        <v>34.42997261252679</v>
      </c>
      <c r="Q22" s="65"/>
      <c r="R22" s="90">
        <f>+R8*1000/R18</f>
        <v>27.224188425370148</v>
      </c>
      <c r="S22" s="72"/>
      <c r="T22" s="90" t="e">
        <f>+T8*1000/T18</f>
        <v>#DIV/0!</v>
      </c>
      <c r="U22" s="18"/>
      <c r="V22" s="90" t="e">
        <f>+V8*1000/V18</f>
        <v>#DIV/0!</v>
      </c>
      <c r="W22" s="18"/>
      <c r="X22" s="90" t="e">
        <f>+X8*1000/X18</f>
        <v>#DIV/0!</v>
      </c>
      <c r="Y22" s="18"/>
      <c r="Z22" s="90" t="e">
        <f>+Z8*1000/Z18</f>
        <v>#DIV/0!</v>
      </c>
      <c r="AA22" s="18"/>
      <c r="AB22" s="18"/>
      <c r="AC22" s="89">
        <f>+AC8*1000/AC18</f>
        <v>26.339605166854358</v>
      </c>
      <c r="AD22" s="72"/>
      <c r="AE22" s="89">
        <f>+AE8*1000/AE18</f>
        <v>26.339605166854358</v>
      </c>
      <c r="AF22" s="72"/>
    </row>
    <row r="23" spans="2:32">
      <c r="B23" s="20" t="s">
        <v>30</v>
      </c>
      <c r="C23" s="18"/>
      <c r="D23" s="54">
        <f>+D7/D5</f>
        <v>1</v>
      </c>
      <c r="E23" s="18"/>
      <c r="F23" s="54">
        <f>+F7/F5</f>
        <v>0.96517500285121671</v>
      </c>
      <c r="G23" s="18"/>
      <c r="H23" s="54">
        <f>+H7/H5</f>
        <v>0.99852474207535757</v>
      </c>
      <c r="I23" s="18"/>
      <c r="J23" s="54">
        <f>+J7/J5</f>
        <v>0.96346499426979748</v>
      </c>
      <c r="K23" s="66"/>
      <c r="L23" s="54">
        <f>+L7/L5</f>
        <v>1</v>
      </c>
      <c r="M23" s="66"/>
      <c r="N23" s="54">
        <f>+N7/N5</f>
        <v>0.95713660841690762</v>
      </c>
      <c r="O23" s="66"/>
      <c r="P23" s="54">
        <f>+P7/P5</f>
        <v>0.86156274414159328</v>
      </c>
      <c r="Q23" s="66"/>
      <c r="R23" s="92">
        <f>+R7/R5</f>
        <v>1</v>
      </c>
      <c r="S23" s="73"/>
      <c r="T23" s="92" t="e">
        <f>+T7/T5</f>
        <v>#DIV/0!</v>
      </c>
      <c r="U23" s="18"/>
      <c r="V23" s="92" t="e">
        <f>+V7/V5</f>
        <v>#DIV/0!</v>
      </c>
      <c r="W23" s="18"/>
      <c r="X23" s="92" t="e">
        <f>+X7/X5</f>
        <v>#DIV/0!</v>
      </c>
      <c r="Y23" s="18"/>
      <c r="Z23" s="92" t="e">
        <f>+Z7/Z5</f>
        <v>#DIV/0!</v>
      </c>
      <c r="AA23" s="18"/>
      <c r="AB23" s="18"/>
      <c r="AC23" s="54">
        <f>+AC7/AC5</f>
        <v>0.96885315745303346</v>
      </c>
      <c r="AD23" s="73"/>
      <c r="AE23" s="54">
        <f>+AE7/AE5</f>
        <v>0.96885315745303346</v>
      </c>
      <c r="AF23" s="73"/>
    </row>
    <row r="24" spans="2:32" ht="7.5" customHeight="1">
      <c r="B24" s="18"/>
      <c r="K24" s="67"/>
      <c r="M24" s="67"/>
      <c r="O24" s="67"/>
      <c r="Q24" s="67"/>
      <c r="R24" s="93"/>
      <c r="S24" s="77"/>
      <c r="T24" s="93"/>
      <c r="V24" s="93"/>
      <c r="X24" s="93"/>
      <c r="AD24" s="67"/>
      <c r="AF24" s="67"/>
    </row>
    <row r="25" spans="2:32">
      <c r="B25" s="22" t="s">
        <v>26</v>
      </c>
      <c r="C25" s="21"/>
      <c r="D25" s="23">
        <f>+D8/(1-D6/D5)</f>
        <v>2092.6439</v>
      </c>
      <c r="E25" s="21"/>
      <c r="F25" s="23">
        <f>+F8/(1-F6/F5)</f>
        <v>2295.3661185333372</v>
      </c>
      <c r="G25" s="21"/>
      <c r="H25" s="23">
        <f>+H8/(1-H6/H5)</f>
        <v>2461.7833654185865</v>
      </c>
      <c r="I25" s="21"/>
      <c r="J25" s="23">
        <f>+J8/(1-J6/J5)</f>
        <v>2415.4818118366525</v>
      </c>
      <c r="K25" s="67"/>
      <c r="L25" s="23">
        <f>+L8/(1-L6/L5)</f>
        <v>2291.5050000000001</v>
      </c>
      <c r="M25" s="67"/>
      <c r="N25" s="23">
        <f>+N8/(1-N6/N5)</f>
        <v>2656.1130121277802</v>
      </c>
      <c r="O25" s="67"/>
      <c r="P25" s="23">
        <f>+P8/(1-P6/P5)</f>
        <v>3356.0284722859478</v>
      </c>
      <c r="Q25" s="67"/>
      <c r="R25" s="34">
        <f>+R8/(1-R6/R5)</f>
        <v>2177.0639000000001</v>
      </c>
      <c r="S25" s="77"/>
      <c r="T25" s="34" t="e">
        <f>+T8/(1-T6/T5)</f>
        <v>#DIV/0!</v>
      </c>
      <c r="V25" s="34" t="e">
        <f>+V8/(1-V6/V5)</f>
        <v>#DIV/0!</v>
      </c>
      <c r="X25" s="34" t="e">
        <f>+X8/(1-X6/X5)</f>
        <v>#DIV/0!</v>
      </c>
      <c r="Z25" s="34" t="e">
        <f>+Z8/(1-Z6/Z5)</f>
        <v>#DIV/0!</v>
      </c>
      <c r="AC25" s="34">
        <f>+AC8/(1-AC6/AC5)</f>
        <v>19606.395999097364</v>
      </c>
      <c r="AD25" s="74"/>
      <c r="AE25" s="34">
        <f>+AE8/(1-AE6/AE5)</f>
        <v>2450.7994998871704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B29" t="s">
        <v>35</v>
      </c>
      <c r="R29" s="12"/>
    </row>
    <row r="30" spans="2:32">
      <c r="B30" t="s">
        <v>36</v>
      </c>
      <c r="R30" s="12"/>
    </row>
    <row r="31" spans="2:32">
      <c r="B31" t="s">
        <v>37</v>
      </c>
      <c r="R31" s="12"/>
    </row>
    <row r="32" spans="2:32">
      <c r="B32" t="s">
        <v>38</v>
      </c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6" right="0.16" top="0.55118110236220474" bottom="0.78740157480314965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2015-03-12T09:08:41Z</cp:lastPrinted>
  <dcterms:created xsi:type="dcterms:W3CDTF">2014-10-14T11:21:48Z</dcterms:created>
  <dcterms:modified xsi:type="dcterms:W3CDTF">2015-09-17T13:04:24Z</dcterms:modified>
</cp:coreProperties>
</file>