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OEC\PROPOČET VČ\Propočet 2022\"/>
    </mc:Choice>
  </mc:AlternateContent>
  <xr:revisionPtr revIDLastSave="0" documentId="13_ncr:1_{8F4AE561-4BD6-46EE-978D-D21D3F21190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VOVÁNÍ" sheetId="1" r:id="rId1"/>
    <sheet name="PRÁDELNA" sheetId="2" state="hidden" r:id="rId2"/>
    <sheet name="LÉKÁRNA" sheetId="4" r:id="rId3"/>
  </sheets>
  <definedNames>
    <definedName name="_xlnm.Print_Area" localSheetId="2">LÉKÁRNA!$A$1:$F$32</definedName>
    <definedName name="_xlnm.Print_Area" localSheetId="1">PRÁDELNA!$A$1:$N$29</definedName>
  </definedNames>
  <calcPr calcId="191029"/>
</workbook>
</file>

<file path=xl/calcChain.xml><?xml version="1.0" encoding="utf-8"?>
<calcChain xmlns="http://schemas.openxmlformats.org/spreadsheetml/2006/main">
  <c r="B17" i="1" l="1"/>
  <c r="B3" i="4" l="1"/>
  <c r="M14" i="1" l="1"/>
  <c r="M7" i="1" l="1"/>
  <c r="M4" i="1"/>
  <c r="L14" i="1" l="1"/>
  <c r="L7" i="1" l="1"/>
  <c r="L4" i="1"/>
  <c r="K14" i="1" l="1"/>
  <c r="K7" i="1" l="1"/>
  <c r="K4" i="1"/>
  <c r="J14" i="1" l="1"/>
  <c r="J7" i="1" l="1"/>
  <c r="J4" i="1"/>
  <c r="I14" i="1" l="1"/>
  <c r="I7" i="1"/>
  <c r="I4" i="1"/>
  <c r="H14" i="1" l="1"/>
  <c r="H7" i="1" l="1"/>
  <c r="H4" i="1"/>
  <c r="G14" i="1" l="1"/>
  <c r="G7" i="1"/>
  <c r="G4" i="1"/>
  <c r="F14" i="1" l="1"/>
  <c r="E14" i="1"/>
  <c r="F7" i="1" l="1"/>
  <c r="F4" i="1"/>
  <c r="E7" i="1"/>
  <c r="E4" i="1"/>
  <c r="D14" i="1" l="1"/>
  <c r="C14" i="1" l="1"/>
  <c r="D7" i="1"/>
  <c r="D4" i="1"/>
  <c r="C7" i="1" l="1"/>
  <c r="C4" i="1"/>
  <c r="B14" i="1" l="1"/>
  <c r="B4" i="1" l="1"/>
  <c r="B7" i="1" l="1"/>
  <c r="N4" i="1" l="1"/>
  <c r="N5" i="1"/>
  <c r="N6" i="1"/>
  <c r="N7" i="1"/>
  <c r="N8" i="1"/>
  <c r="N9" i="1"/>
  <c r="B27" i="4" l="1"/>
  <c r="D32" i="4" s="1"/>
  <c r="H20" i="1" l="1"/>
  <c r="B11" i="2"/>
  <c r="E10" i="1"/>
  <c r="E13" i="1" s="1"/>
  <c r="F10" i="1"/>
  <c r="F12" i="1" s="1"/>
  <c r="G10" i="1"/>
  <c r="G13" i="1" s="1"/>
  <c r="H10" i="1"/>
  <c r="H12" i="1" s="1"/>
  <c r="I10" i="1"/>
  <c r="I13" i="1" s="1"/>
  <c r="J10" i="1"/>
  <c r="J12" i="1" s="1"/>
  <c r="K10" i="1"/>
  <c r="K12" i="1" s="1"/>
  <c r="L10" i="1"/>
  <c r="L12" i="1" s="1"/>
  <c r="M10" i="1"/>
  <c r="M13" i="1" s="1"/>
  <c r="C10" i="1"/>
  <c r="C13" i="1" s="1"/>
  <c r="D10" i="1"/>
  <c r="D13" i="1" s="1"/>
  <c r="B10" i="1"/>
  <c r="B13" i="1" s="1"/>
  <c r="G19" i="1"/>
  <c r="K13" i="1" l="1"/>
  <c r="G12" i="1"/>
  <c r="E12" i="1"/>
  <c r="I12" i="1"/>
  <c r="M12" i="1"/>
  <c r="J13" i="1"/>
  <c r="F13" i="1"/>
  <c r="L13" i="1"/>
  <c r="H13" i="1"/>
  <c r="H22" i="1"/>
  <c r="H21" i="1"/>
  <c r="B27" i="2" l="1"/>
  <c r="B40" i="1" l="1"/>
  <c r="N14" i="1" l="1"/>
  <c r="D12" i="1" l="1"/>
  <c r="C12" i="1"/>
  <c r="B12" i="1"/>
  <c r="B32" i="4" l="1"/>
  <c r="G23" i="1"/>
  <c r="N11" i="1"/>
  <c r="M7" i="2"/>
  <c r="L7" i="2"/>
  <c r="K7" i="2"/>
  <c r="J7" i="2"/>
  <c r="I7" i="2"/>
  <c r="H7" i="2"/>
  <c r="G7" i="2"/>
  <c r="F7" i="2"/>
  <c r="E7" i="2"/>
  <c r="D7" i="2"/>
  <c r="C7" i="2"/>
  <c r="B7" i="2"/>
  <c r="N6" i="2"/>
  <c r="N5" i="2"/>
  <c r="N4" i="2"/>
  <c r="N11" i="2" l="1"/>
  <c r="N12" i="1"/>
  <c r="G24" i="1"/>
  <c r="G26" i="1" s="1"/>
  <c r="B41" i="1" s="1"/>
  <c r="N10" i="1"/>
  <c r="N7" i="2"/>
  <c r="B29" i="2" l="1"/>
  <c r="B42" i="1"/>
  <c r="B44" i="1" s="1"/>
  <c r="D29" i="2" l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64025</author>
  </authors>
  <commentList>
    <comment ref="B7" authorId="0" shapeId="0" xr:uid="{5C98F053-AE4F-4C09-88B1-44CFDF8EB3F9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důchodci+FN nedot.+cizí+školka,jesle</t>
        </r>
      </text>
    </comment>
    <comment ref="A14" authorId="0" shapeId="0" xr:uid="{361F3F00-BBDA-476B-9FD7-4CA6614D8825}">
      <text>
        <r>
          <rPr>
            <sz val="10"/>
            <color indexed="81"/>
            <rFont val="Calibri"/>
            <family val="2"/>
            <charset val="238"/>
            <scheme val="minor"/>
          </rPr>
          <t>počet OD+COVID+GER+NIP,DIOP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C1DD49FD-C37A-49A8-95D4-72D99A5F4DF5}">
      <text>
        <r>
          <rPr>
            <sz val="10"/>
            <color indexed="81"/>
            <rFont val="Calibri"/>
            <family val="2"/>
            <charset val="238"/>
            <scheme val="minor"/>
          </rPr>
          <t>COVID 453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D906A4C5-498A-4E40-987E-03EFF07028CB}">
      <text>
        <r>
          <rPr>
            <sz val="10"/>
            <color indexed="81"/>
            <rFont val="Tahoma"/>
            <family val="2"/>
            <charset val="238"/>
          </rPr>
          <t>COVID 577</t>
        </r>
      </text>
    </comment>
    <comment ref="D14" authorId="0" shapeId="0" xr:uid="{06020A12-7E02-49CD-B87D-0FDCC5533775}">
      <text>
        <r>
          <rPr>
            <sz val="10"/>
            <color indexed="81"/>
            <rFont val="Calibri"/>
            <family val="2"/>
            <charset val="238"/>
            <scheme val="minor"/>
          </rPr>
          <t>COVID-428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 xr:uid="{35C46856-D29E-4222-A56F-510F2C3E2F78}">
      <text>
        <r>
          <rPr>
            <sz val="8"/>
            <color indexed="81"/>
            <rFont val="Tahoma"/>
            <family val="2"/>
            <charset val="238"/>
          </rPr>
          <t>Covid 301</t>
        </r>
      </text>
    </comment>
    <comment ref="F14" authorId="0" shapeId="0" xr:uid="{8B0F22B4-83BF-40BD-914F-C71F486D9E75}">
      <text>
        <r>
          <rPr>
            <sz val="8"/>
            <color indexed="81"/>
            <rFont val="Tahoma"/>
            <family val="2"/>
            <charset val="238"/>
          </rPr>
          <t>covid 4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G14" authorId="0" shapeId="0" xr:uid="{D8B9496C-A3CC-483E-808A-E907B865A789}">
      <text>
        <r>
          <rPr>
            <sz val="10"/>
            <color indexed="81"/>
            <rFont val="Calibri"/>
            <family val="2"/>
            <charset val="238"/>
            <scheme val="minor"/>
          </rPr>
          <t>covid - 0</t>
        </r>
      </text>
    </comment>
    <comment ref="H14" authorId="0" shapeId="0" xr:uid="{6927C8A0-E736-49F8-A940-7172702D7157}">
      <text>
        <r>
          <rPr>
            <sz val="8"/>
            <color indexed="81"/>
            <rFont val="Tahoma"/>
            <family val="2"/>
            <charset val="238"/>
          </rPr>
          <t>covid 0</t>
        </r>
      </text>
    </comment>
    <comment ref="I14" authorId="0" shapeId="0" xr:uid="{13934D64-6EE4-4372-BBBF-FF11D935755B}">
      <text>
        <r>
          <rPr>
            <sz val="10"/>
            <color indexed="81"/>
            <rFont val="Tahoma"/>
            <family val="2"/>
            <charset val="238"/>
          </rPr>
          <t>covid 0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J14" authorId="0" shapeId="0" xr:uid="{27DC3C9E-99FB-40B5-8F8C-5014F8685912}">
      <text>
        <r>
          <rPr>
            <sz val="8"/>
            <color indexed="81"/>
            <rFont val="Tahoma"/>
            <family val="2"/>
            <charset val="238"/>
          </rPr>
          <t>covid 0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 xr:uid="{174ADA02-958F-41FA-ADE7-0CBDCC1792AA}">
      <text>
        <r>
          <rPr>
            <sz val="8"/>
            <color indexed="81"/>
            <rFont val="Calibri"/>
            <family val="2"/>
            <charset val="238"/>
            <scheme val="minor"/>
          </rPr>
          <t>covid 0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L14" authorId="0" shapeId="0" xr:uid="{1E14335A-633D-4850-8101-56A6C329F8AA}">
      <text>
        <r>
          <rPr>
            <sz val="8"/>
            <color indexed="81"/>
            <rFont val="Tahoma"/>
            <family val="2"/>
            <charset val="238"/>
          </rPr>
          <t>covid 0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M14" authorId="0" shapeId="0" xr:uid="{49654CA3-165C-44F6-BD1E-817444ECDECA}">
      <text>
        <r>
          <rPr>
            <sz val="10"/>
            <color indexed="81"/>
            <rFont val="Calibri"/>
            <family val="2"/>
            <charset val="238"/>
            <scheme val="minor"/>
          </rPr>
          <t>covid 0</t>
        </r>
      </text>
    </comment>
    <comment ref="B17" authorId="1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výsledovka za NS
</t>
        </r>
      </text>
    </comment>
    <comment ref="D17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výsledovka bez omezení 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64025</author>
  </authors>
  <commentList>
    <comment ref="A1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položka - přecenění léků pod NC
</t>
        </r>
      </text>
    </comment>
  </commentList>
</comments>
</file>

<file path=xl/sharedStrings.xml><?xml version="1.0" encoding="utf-8"?>
<sst xmlns="http://schemas.openxmlformats.org/spreadsheetml/2006/main" count="139" uniqueCount="124">
  <si>
    <t>Oddělení stravování</t>
  </si>
  <si>
    <t>Celkem</t>
  </si>
  <si>
    <t xml:space="preserve">Celkem počet jídel </t>
  </si>
  <si>
    <t>celkem vč.pacientské</t>
  </si>
  <si>
    <t>Oddělení prádelny</t>
  </si>
  <si>
    <t xml:space="preserve">Celkem kg opr. prádla </t>
  </si>
  <si>
    <t>- 501 09 000 cenové odchylky</t>
  </si>
  <si>
    <t>- 501 16 099 nápoje neučinné</t>
  </si>
  <si>
    <t>- 501 16 402 závodní strav.</t>
  </si>
  <si>
    <t xml:space="preserve">- 501 16 403 studenti </t>
  </si>
  <si>
    <t>- 501 16 502 externí strav.</t>
  </si>
  <si>
    <t>- 501 17 010 lékárničky</t>
  </si>
  <si>
    <t>- 511 02 021 oprava zdrav. techniky</t>
  </si>
  <si>
    <t>- 501 12 001 automobil.benzin</t>
  </si>
  <si>
    <t>- 512 01 000 cestovné</t>
  </si>
  <si>
    <t>- 518 05 001 projek.práce</t>
  </si>
  <si>
    <t>- 518 07 411 stravné dodav.</t>
  </si>
  <si>
    <t>- 518 74 002 služby S.O.S.</t>
  </si>
  <si>
    <t>- 549 10 026 TZ budov</t>
  </si>
  <si>
    <t>- 549 10 003 práce výr.pov.</t>
  </si>
  <si>
    <t>- 549 10 010 školení</t>
  </si>
  <si>
    <t>opr. Náklady</t>
  </si>
  <si>
    <t>opr. o pův. režie strav prov.</t>
  </si>
  <si>
    <t>%</t>
  </si>
  <si>
    <t>FNOL</t>
  </si>
  <si>
    <t>- 501 15 ZPr</t>
  </si>
  <si>
    <t>- 501 17 007 údrž.mat.šijovna</t>
  </si>
  <si>
    <t>- 501 19 002 prádlo pac.</t>
  </si>
  <si>
    <t>- 501 19 092 lůžkoviny</t>
  </si>
  <si>
    <t>- 501 80 003 FKSP</t>
  </si>
  <si>
    <t>- 518 09 001 ČS poplatky</t>
  </si>
  <si>
    <t>- 549 10 003 práce výr. povahy</t>
  </si>
  <si>
    <t>- 501 09 000 cenové odch.</t>
  </si>
  <si>
    <t>- 501 80 dary</t>
  </si>
  <si>
    <t xml:space="preserve">- 504  prodej </t>
  </si>
  <si>
    <t>- 512 01 cestovné</t>
  </si>
  <si>
    <t>604 50 560 neléčiva</t>
  </si>
  <si>
    <t>CELKOVÁ HODNOTA</t>
  </si>
  <si>
    <t>604 tržby - 60450400 bez regul. poplatků</t>
  </si>
  <si>
    <t>Lékárna    4802</t>
  </si>
  <si>
    <t>- 501 13 léky</t>
  </si>
  <si>
    <t xml:space="preserve"> -501 15 SZM</t>
  </si>
  <si>
    <t>- 501 16 099 nápoje horké provozy</t>
  </si>
  <si>
    <t>- 518 04 006 nájem auta</t>
  </si>
  <si>
    <t>- 518 80 000 služby z darů</t>
  </si>
  <si>
    <t>- 538 01 002 soudy,arbit.</t>
  </si>
  <si>
    <t>- 563 01 000 kurzové ztráty</t>
  </si>
  <si>
    <t>- 799 03 000 doprava os.</t>
  </si>
  <si>
    <t>Náklady celkem: (N+VN)</t>
  </si>
  <si>
    <t>- 549 70 000 předpis KDF-SLUŽBY</t>
  </si>
  <si>
    <t>SUMA</t>
  </si>
  <si>
    <t>Náklady celkem: N+VN</t>
  </si>
  <si>
    <t>501 16 002</t>
  </si>
  <si>
    <t>501 16 001</t>
  </si>
  <si>
    <t>lůžk. pacienti</t>
  </si>
  <si>
    <t>lůžk. pacienti nad normu</t>
  </si>
  <si>
    <t>501 16 402</t>
  </si>
  <si>
    <t>501 16 403</t>
  </si>
  <si>
    <t>501 16 502</t>
  </si>
  <si>
    <t>studenti SKMUP, stážisté</t>
  </si>
  <si>
    <t>externí strávníci</t>
  </si>
  <si>
    <t>záv. stravování</t>
  </si>
  <si>
    <t>suma</t>
  </si>
  <si>
    <t>součet</t>
  </si>
  <si>
    <t>- 549 10 017 přecenění léků</t>
  </si>
  <si>
    <t>- 549 73 000 školení</t>
  </si>
  <si>
    <t>- 549 10 007 ostatní</t>
  </si>
  <si>
    <t>- 558 06 001 DDHM - ostatní</t>
  </si>
  <si>
    <t>- 799 03  doprava</t>
  </si>
  <si>
    <t>_</t>
  </si>
  <si>
    <t>- 549 10 010 školení - nezdrav</t>
  </si>
  <si>
    <t>- 549 10 009 školení, kongres</t>
  </si>
  <si>
    <t>- 549 71 000 školení - THP</t>
  </si>
  <si>
    <t>- 518 05 001 průzkumné a projekt.pr.</t>
  </si>
  <si>
    <t>- 518 04 002 náj. nebyt. prostor</t>
  </si>
  <si>
    <t>- 549 72 000 školení - lékaři</t>
  </si>
  <si>
    <t>- 549 11 003 pojištění - vozidla</t>
  </si>
  <si>
    <t>- 549 80 000 jiné náklady z fin.darů</t>
  </si>
  <si>
    <t>počet ošetřujících dnů</t>
  </si>
  <si>
    <t>pův. režie (lůžk.pacienti)</t>
  </si>
  <si>
    <t>Interní</t>
  </si>
  <si>
    <t>Cizí</t>
  </si>
  <si>
    <t>Zaměstnanci (cizí)</t>
  </si>
  <si>
    <t>- 799 01 002 HVLP</t>
  </si>
  <si>
    <t>- 501 19 002 prádlo pacientů</t>
  </si>
  <si>
    <t>- 799 03 002 doprava - osobní</t>
  </si>
  <si>
    <t xml:space="preserve">   zaměstnanci</t>
  </si>
  <si>
    <t xml:space="preserve">   stážisti</t>
  </si>
  <si>
    <t xml:space="preserve">   cizí</t>
  </si>
  <si>
    <t xml:space="preserve">   studenti</t>
  </si>
  <si>
    <t xml:space="preserve">   pacienti</t>
  </si>
  <si>
    <t xml:space="preserve">     - z toho chlazená strava</t>
  </si>
  <si>
    <t>- 549 10 009 školení - os.zdrav.prac.</t>
  </si>
  <si>
    <t>- 549 10 008 školení - lékaři</t>
  </si>
  <si>
    <t>- 501 17 009 spotř.mat. k ZPr (V21)</t>
  </si>
  <si>
    <t xml:space="preserve">     - z toho zaměstnanci nedotovaní</t>
  </si>
  <si>
    <t>- 501 18 004 ND - zdravot.techn.</t>
  </si>
  <si>
    <t>1 /2019</t>
  </si>
  <si>
    <t>2 /2019</t>
  </si>
  <si>
    <t>3 /2019</t>
  </si>
  <si>
    <t>4 /2019</t>
  </si>
  <si>
    <t>5 /2019</t>
  </si>
  <si>
    <t>6 /2019</t>
  </si>
  <si>
    <t>7 /2019</t>
  </si>
  <si>
    <t>8 /2019</t>
  </si>
  <si>
    <t>9 /2019</t>
  </si>
  <si>
    <t>10 /2019</t>
  </si>
  <si>
    <t>11 /2019</t>
  </si>
  <si>
    <t>12 /2019</t>
  </si>
  <si>
    <t>1-3 2019</t>
  </si>
  <si>
    <t>- 518 74 018 propagace,reklama,tisk</t>
  </si>
  <si>
    <t>1 /2022</t>
  </si>
  <si>
    <t>2 /2022</t>
  </si>
  <si>
    <t>3 /2022</t>
  </si>
  <si>
    <t>4 /2022</t>
  </si>
  <si>
    <t>5 /2022</t>
  </si>
  <si>
    <t>6 /2022</t>
  </si>
  <si>
    <t>7 /2022</t>
  </si>
  <si>
    <t>8 /2022</t>
  </si>
  <si>
    <t>9 /2022</t>
  </si>
  <si>
    <t>10 /2022</t>
  </si>
  <si>
    <t>11 /2022</t>
  </si>
  <si>
    <t>12 /2022</t>
  </si>
  <si>
    <t>1-12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</si>
</sst>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double">
        <color theme="5"/>
      </top>
      <bottom/>
      <diagonal/>
    </border>
    <border>
      <left style="thin">
        <color theme="5"/>
      </left>
      <right style="thin">
        <color theme="5"/>
      </right>
      <top style="double">
        <color theme="5"/>
      </top>
      <bottom/>
      <diagonal/>
    </border>
    <border>
      <left style="thin">
        <color theme="5"/>
      </left>
      <right/>
      <top style="double">
        <color theme="5"/>
      </top>
      <bottom/>
      <diagonal/>
    </border>
    <border>
      <left style="mediumDashed">
        <color theme="5"/>
      </left>
      <right style="thin">
        <color theme="5"/>
      </right>
      <top/>
      <bottom/>
      <diagonal/>
    </border>
    <border>
      <left style="thin">
        <color theme="5"/>
      </left>
      <right style="mediumDashed">
        <color theme="5"/>
      </right>
      <top/>
      <bottom/>
      <diagonal/>
    </border>
    <border>
      <left style="thin">
        <color theme="5"/>
      </left>
      <right style="double">
        <color theme="5"/>
      </right>
      <top/>
      <bottom/>
      <diagonal/>
    </border>
    <border>
      <left/>
      <right/>
      <top style="double">
        <color theme="5"/>
      </top>
      <bottom/>
      <diagonal/>
    </border>
    <border>
      <left style="mediumDashed">
        <color theme="5"/>
      </left>
      <right style="thin">
        <color theme="5"/>
      </right>
      <top style="double">
        <color theme="5"/>
      </top>
      <bottom/>
      <diagonal/>
    </border>
    <border>
      <left style="thin">
        <color theme="5"/>
      </left>
      <right style="mediumDashed">
        <color theme="5"/>
      </right>
      <top style="double">
        <color theme="5"/>
      </top>
      <bottom/>
      <diagonal/>
    </border>
    <border>
      <left style="thin">
        <color theme="5"/>
      </left>
      <right style="double">
        <color theme="5"/>
      </right>
      <top style="double">
        <color theme="5"/>
      </top>
      <bottom/>
      <diagonal/>
    </border>
  </borders>
  <cellStyleXfs count="3">
    <xf numFmtId="0" fontId="0" fillId="0" borderId="0"/>
    <xf numFmtId="0" fontId="1" fillId="0" borderId="0"/>
    <xf numFmtId="0" fontId="9" fillId="2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6" fillId="0" borderId="0" xfId="1" applyFont="1"/>
    <xf numFmtId="0" fontId="4" fillId="0" borderId="0" xfId="0" applyFont="1"/>
    <xf numFmtId="0" fontId="6" fillId="0" borderId="0" xfId="0" applyFont="1"/>
    <xf numFmtId="49" fontId="4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49" fontId="0" fillId="0" borderId="0" xfId="0" applyNumberFormat="1" applyFont="1"/>
    <xf numFmtId="4" fontId="7" fillId="0" borderId="0" xfId="0" applyNumberFormat="1" applyFont="1" applyFill="1"/>
    <xf numFmtId="4" fontId="7" fillId="0" borderId="0" xfId="0" applyNumberFormat="1" applyFont="1"/>
    <xf numFmtId="4" fontId="4" fillId="0" borderId="0" xfId="0" applyNumberFormat="1" applyFont="1"/>
    <xf numFmtId="49" fontId="0" fillId="0" borderId="1" xfId="0" applyNumberFormat="1" applyFont="1" applyBorder="1"/>
    <xf numFmtId="4" fontId="6" fillId="0" borderId="1" xfId="0" applyNumberFormat="1" applyFont="1" applyBorder="1"/>
    <xf numFmtId="49" fontId="6" fillId="0" borderId="1" xfId="0" applyNumberFormat="1" applyFont="1" applyBorder="1"/>
    <xf numFmtId="4" fontId="0" fillId="0" borderId="1" xfId="0" applyNumberFormat="1" applyFont="1" applyBorder="1"/>
    <xf numFmtId="49" fontId="5" fillId="0" borderId="1" xfId="0" applyNumberFormat="1" applyFont="1" applyBorder="1"/>
    <xf numFmtId="4" fontId="7" fillId="0" borderId="1" xfId="0" applyNumberFormat="1" applyFont="1" applyBorder="1"/>
    <xf numFmtId="49" fontId="0" fillId="0" borderId="2" xfId="0" applyNumberFormat="1" applyFont="1" applyBorder="1" applyAlignment="1">
      <alignment horizontal="right"/>
    </xf>
    <xf numFmtId="0" fontId="8" fillId="2" borderId="0" xfId="2" applyFont="1" applyAlignment="1">
      <alignment horizontal="center"/>
    </xf>
    <xf numFmtId="0" fontId="10" fillId="2" borderId="0" xfId="2" applyFont="1"/>
    <xf numFmtId="0" fontId="10" fillId="2" borderId="0" xfId="2" applyFont="1" applyAlignment="1">
      <alignment horizontal="center"/>
    </xf>
    <xf numFmtId="49" fontId="0" fillId="0" borderId="1" xfId="0" applyNumberFormat="1" applyBorder="1"/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3" fontId="0" fillId="0" borderId="5" xfId="0" applyNumberFormat="1" applyFont="1" applyBorder="1"/>
    <xf numFmtId="49" fontId="0" fillId="0" borderId="1" xfId="0" applyNumberFormat="1" applyFont="1" applyBorder="1" applyAlignment="1"/>
    <xf numFmtId="4" fontId="0" fillId="0" borderId="1" xfId="0" applyNumberFormat="1" applyFont="1" applyFill="1" applyBorder="1"/>
    <xf numFmtId="4" fontId="6" fillId="0" borderId="1" xfId="0" applyNumberFormat="1" applyFont="1" applyFill="1" applyBorder="1"/>
    <xf numFmtId="49" fontId="6" fillId="0" borderId="1" xfId="0" applyNumberFormat="1" applyFont="1" applyBorder="1" applyAlignment="1"/>
    <xf numFmtId="49" fontId="7" fillId="0" borderId="1" xfId="0" applyNumberFormat="1" applyFont="1" applyBorder="1"/>
    <xf numFmtId="4" fontId="7" fillId="0" borderId="1" xfId="0" applyNumberFormat="1" applyFont="1" applyFill="1" applyBorder="1"/>
    <xf numFmtId="49" fontId="0" fillId="0" borderId="6" xfId="0" applyNumberFormat="1" applyBorder="1"/>
    <xf numFmtId="4" fontId="6" fillId="0" borderId="6" xfId="0" applyNumberFormat="1" applyFont="1" applyFill="1" applyBorder="1"/>
    <xf numFmtId="3" fontId="9" fillId="2" borderId="0" xfId="2" applyNumberFormat="1"/>
    <xf numFmtId="0" fontId="12" fillId="0" borderId="0" xfId="0" applyFont="1" applyAlignment="1">
      <alignment horizontal="center"/>
    </xf>
    <xf numFmtId="0" fontId="8" fillId="0" borderId="5" xfId="1" applyFont="1" applyBorder="1" applyAlignment="1">
      <alignment horizontal="center"/>
    </xf>
    <xf numFmtId="3" fontId="6" fillId="0" borderId="4" xfId="1" applyNumberFormat="1" applyFont="1" applyBorder="1" applyAlignment="1">
      <alignment horizontal="right"/>
    </xf>
    <xf numFmtId="3" fontId="6" fillId="0" borderId="4" xfId="1" applyNumberFormat="1" applyFont="1" applyBorder="1"/>
    <xf numFmtId="3" fontId="6" fillId="0" borderId="4" xfId="1" applyNumberFormat="1" applyFont="1" applyFill="1" applyBorder="1"/>
    <xf numFmtId="3" fontId="6" fillId="0" borderId="5" xfId="1" applyNumberFormat="1" applyFont="1" applyBorder="1"/>
    <xf numFmtId="49" fontId="4" fillId="0" borderId="1" xfId="0" applyNumberFormat="1" applyFont="1" applyBorder="1" applyAlignment="1"/>
    <xf numFmtId="4" fontId="4" fillId="0" borderId="1" xfId="0" applyNumberFormat="1" applyFont="1" applyBorder="1"/>
    <xf numFmtId="49" fontId="4" fillId="0" borderId="1" xfId="0" applyNumberFormat="1" applyFont="1" applyBorder="1"/>
    <xf numFmtId="4" fontId="5" fillId="0" borderId="1" xfId="0" applyNumberFormat="1" applyFont="1" applyBorder="1"/>
    <xf numFmtId="49" fontId="4" fillId="0" borderId="7" xfId="0" applyNumberFormat="1" applyFont="1" applyBorder="1"/>
    <xf numFmtId="4" fontId="12" fillId="0" borderId="7" xfId="0" applyNumberFormat="1" applyFont="1" applyBorder="1"/>
    <xf numFmtId="165" fontId="12" fillId="0" borderId="2" xfId="0" applyNumberFormat="1" applyFont="1" applyBorder="1"/>
    <xf numFmtId="4" fontId="4" fillId="3" borderId="1" xfId="0" applyNumberFormat="1" applyFont="1" applyFill="1" applyBorder="1"/>
    <xf numFmtId="4" fontId="12" fillId="0" borderId="0" xfId="0" applyNumberFormat="1" applyFont="1"/>
    <xf numFmtId="4" fontId="5" fillId="3" borderId="1" xfId="0" applyNumberFormat="1" applyFont="1" applyFill="1" applyBorder="1"/>
    <xf numFmtId="0" fontId="6" fillId="0" borderId="8" xfId="0" applyFont="1" applyBorder="1"/>
    <xf numFmtId="0" fontId="4" fillId="0" borderId="8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9" xfId="0" applyFont="1" applyBorder="1"/>
    <xf numFmtId="0" fontId="4" fillId="0" borderId="10" xfId="0" applyFont="1" applyBorder="1"/>
    <xf numFmtId="0" fontId="12" fillId="0" borderId="0" xfId="0" applyFont="1" applyFill="1" applyBorder="1"/>
    <xf numFmtId="164" fontId="12" fillId="0" borderId="2" xfId="0" applyNumberFormat="1" applyFont="1" applyFill="1" applyBorder="1"/>
    <xf numFmtId="49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/>
    <xf numFmtId="0" fontId="11" fillId="0" borderId="3" xfId="1" applyFont="1" applyBorder="1"/>
    <xf numFmtId="0" fontId="11" fillId="0" borderId="3" xfId="0" applyFont="1" applyBorder="1"/>
    <xf numFmtId="3" fontId="13" fillId="0" borderId="5" xfId="1" applyNumberFormat="1" applyFont="1" applyFill="1" applyBorder="1"/>
    <xf numFmtId="3" fontId="4" fillId="0" borderId="0" xfId="0" applyNumberFormat="1" applyFont="1"/>
    <xf numFmtId="0" fontId="7" fillId="0" borderId="11" xfId="1" applyFont="1" applyBorder="1" applyAlignment="1">
      <alignment horizontal="left"/>
    </xf>
    <xf numFmtId="3" fontId="7" fillId="0" borderId="12" xfId="1" applyNumberFormat="1" applyFont="1" applyBorder="1"/>
    <xf numFmtId="3" fontId="7" fillId="0" borderId="13" xfId="1" applyNumberFormat="1" applyFont="1" applyBorder="1"/>
    <xf numFmtId="0" fontId="12" fillId="0" borderId="2" xfId="0" applyFont="1" applyBorder="1"/>
    <xf numFmtId="4" fontId="9" fillId="2" borderId="2" xfId="2" applyNumberFormat="1" applyBorder="1"/>
    <xf numFmtId="0" fontId="0" fillId="0" borderId="2" xfId="0" applyFont="1" applyBorder="1"/>
    <xf numFmtId="0" fontId="12" fillId="0" borderId="2" xfId="0" applyFont="1" applyFill="1" applyBorder="1"/>
    <xf numFmtId="4" fontId="8" fillId="2" borderId="2" xfId="2" applyNumberFormat="1" applyFont="1" applyBorder="1"/>
    <xf numFmtId="0" fontId="4" fillId="0" borderId="2" xfId="0" applyFont="1" applyBorder="1"/>
    <xf numFmtId="14" fontId="4" fillId="0" borderId="0" xfId="0" applyNumberFormat="1" applyFont="1" applyAlignment="1">
      <alignment horizontal="center"/>
    </xf>
    <xf numFmtId="3" fontId="0" fillId="0" borderId="5" xfId="0" applyNumberFormat="1" applyFont="1" applyFill="1" applyBorder="1"/>
    <xf numFmtId="3" fontId="0" fillId="0" borderId="3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3" fontId="7" fillId="0" borderId="0" xfId="0" applyNumberFormat="1" applyFont="1" applyBorder="1"/>
    <xf numFmtId="3" fontId="0" fillId="0" borderId="0" xfId="0" applyNumberFormat="1" applyFont="1" applyBorder="1"/>
    <xf numFmtId="3" fontId="0" fillId="0" borderId="16" xfId="0" applyNumberFormat="1" applyFont="1" applyBorder="1"/>
    <xf numFmtId="0" fontId="7" fillId="0" borderId="11" xfId="0" applyFont="1" applyBorder="1" applyAlignment="1">
      <alignment horizontal="left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3" fontId="7" fillId="0" borderId="11" xfId="0" applyNumberFormat="1" applyFont="1" applyBorder="1"/>
    <xf numFmtId="3" fontId="7" fillId="0" borderId="20" xfId="0" applyNumberFormat="1" applyFont="1" applyBorder="1"/>
    <xf numFmtId="3" fontId="7" fillId="0" borderId="17" xfId="0" applyNumberFormat="1" applyFont="1" applyBorder="1"/>
    <xf numFmtId="0" fontId="1" fillId="0" borderId="0" xfId="1"/>
    <xf numFmtId="3" fontId="6" fillId="0" borderId="4" xfId="0" applyNumberFormat="1" applyFont="1" applyBorder="1"/>
    <xf numFmtId="0" fontId="14" fillId="0" borderId="0" xfId="0" applyNumberFormat="1" applyFont="1" applyFill="1" applyBorder="1" applyAlignment="1" applyProtection="1">
      <alignment horizontal="left"/>
    </xf>
    <xf numFmtId="3" fontId="15" fillId="0" borderId="0" xfId="0" applyNumberFormat="1" applyFont="1" applyFill="1" applyBorder="1" applyAlignment="1" applyProtection="1"/>
    <xf numFmtId="0" fontId="16" fillId="0" borderId="1" xfId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16" fillId="0" borderId="1" xfId="1" applyNumberFormat="1" applyFont="1" applyFill="1" applyBorder="1"/>
    <xf numFmtId="0" fontId="0" fillId="0" borderId="3" xfId="0" applyBorder="1" applyAlignment="1">
      <alignment horizontal="left"/>
    </xf>
    <xf numFmtId="4" fontId="0" fillId="3" borderId="1" xfId="0" applyNumberFormat="1" applyFill="1" applyBorder="1"/>
    <xf numFmtId="3" fontId="6" fillId="0" borderId="4" xfId="0" applyNumberFormat="1" applyFont="1" applyBorder="1" applyAlignment="1">
      <alignment horizontal="right"/>
    </xf>
    <xf numFmtId="3" fontId="6" fillId="0" borderId="5" xfId="0" applyNumberFormat="1" applyFont="1" applyFill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16" xfId="0" applyNumberFormat="1" applyFont="1" applyBorder="1"/>
    <xf numFmtId="0" fontId="6" fillId="0" borderId="3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17" fillId="0" borderId="3" xfId="1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3" fontId="17" fillId="0" borderId="4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vertical="center"/>
    </xf>
    <xf numFmtId="0" fontId="19" fillId="0" borderId="0" xfId="0" applyFont="1"/>
    <xf numFmtId="3" fontId="0" fillId="0" borderId="0" xfId="0" applyNumberFormat="1"/>
    <xf numFmtId="4" fontId="20" fillId="0" borderId="0" xfId="0" applyNumberFormat="1" applyFont="1" applyAlignment="1">
      <alignment vertical="center"/>
    </xf>
    <xf numFmtId="0" fontId="7" fillId="0" borderId="3" xfId="0" applyNumberFormat="1" applyFont="1" applyFill="1" applyBorder="1" applyAlignment="1" applyProtection="1">
      <alignment horizontal="left"/>
    </xf>
    <xf numFmtId="3" fontId="6" fillId="0" borderId="4" xfId="0" applyNumberFormat="1" applyFont="1" applyFill="1" applyBorder="1" applyAlignment="1" applyProtection="1"/>
    <xf numFmtId="3" fontId="6" fillId="0" borderId="5" xfId="0" applyNumberFormat="1" applyFont="1" applyFill="1" applyBorder="1" applyAlignment="1" applyProtection="1"/>
    <xf numFmtId="4" fontId="0" fillId="0" borderId="1" xfId="0" applyNumberFormat="1" applyFill="1" applyBorder="1"/>
    <xf numFmtId="3" fontId="17" fillId="0" borderId="4" xfId="1" applyNumberFormat="1" applyFont="1" applyBorder="1" applyAlignment="1">
      <alignment horizontal="right"/>
    </xf>
    <xf numFmtId="3" fontId="17" fillId="0" borderId="4" xfId="1" applyNumberFormat="1" applyFont="1" applyFill="1" applyBorder="1"/>
    <xf numFmtId="4" fontId="0" fillId="0" borderId="4" xfId="0" applyNumberFormat="1" applyFont="1" applyFill="1" applyBorder="1"/>
    <xf numFmtId="0" fontId="25" fillId="0" borderId="0" xfId="0" applyFont="1"/>
    <xf numFmtId="0" fontId="12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Zvýraznění 2" xfId="2" builtinId="33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double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mediumDashed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mediumDashed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mediumDashed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  <protection locked="1" hidden="0"/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5"/>
        </right>
        <top/>
        <bottom/>
      </border>
      <protection locked="1" hidden="0"/>
    </dxf>
    <dxf>
      <border diagonalUp="0" diagonalDown="0">
        <left/>
        <right style="thin">
          <color theme="5"/>
        </right>
        <top/>
        <bottom/>
        <vertical style="thin">
          <color theme="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</border>
    </dxf>
  </dxfs>
  <tableStyles count="0" defaultTableStyle="TableStyleMedium9" defaultPivotStyle="PivotStyleLight16"/>
  <colors>
    <mruColors>
      <color rgb="FF3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ulka7" displayName="Tabulka7" ref="A3:N12" totalsRowCount="1" headerRowDxfId="48" dataDxfId="47" totalsRowDxfId="45" tableBorderDxfId="46" headerRowCellStyle="normální 2" dataCellStyle="normální 2" totalsRowCellStyle="normální 2">
  <tableColumns count="14">
    <tableColumn id="1" xr3:uid="{00000000-0010-0000-0000-000001000000}" name="_" totalsRowLabel="celkem vč.pacientské" dataDxfId="44" totalsRowDxfId="43"/>
    <tableColumn id="2" xr3:uid="{00000000-0010-0000-0000-000002000000}" name="1 /2022" totalsRowFunction="custom" dataDxfId="42" totalsRowDxfId="41">
      <totalsRowFormula>SUM(B10:B11)</totalsRowFormula>
    </tableColumn>
    <tableColumn id="3" xr3:uid="{00000000-0010-0000-0000-000003000000}" name="2 /2022" totalsRowFunction="custom" dataDxfId="40" totalsRowDxfId="39" dataCellStyle="normální 2">
      <totalsRowFormula>SUM(C10:C11)</totalsRowFormula>
    </tableColumn>
    <tableColumn id="4" xr3:uid="{00000000-0010-0000-0000-000004000000}" name="3 /2022" totalsRowFunction="custom" dataDxfId="38" totalsRowDxfId="37" dataCellStyle="normální 2">
      <totalsRowFormula>SUM(D10:D11)</totalsRowFormula>
    </tableColumn>
    <tableColumn id="5" xr3:uid="{00000000-0010-0000-0000-000005000000}" name="4 /2022" totalsRowFunction="custom" dataDxfId="36" totalsRowDxfId="35" dataCellStyle="normální 2">
      <calculatedColumnFormula>#REF!</calculatedColumnFormula>
      <totalsRowFormula>SUM(E10:E11)</totalsRowFormula>
    </tableColumn>
    <tableColumn id="6" xr3:uid="{00000000-0010-0000-0000-000006000000}" name="5 /2022" totalsRowFunction="custom" dataDxfId="34" totalsRowDxfId="33" dataCellStyle="normální 2">
      <totalsRowFormula>SUM(F10:F11)</totalsRowFormula>
    </tableColumn>
    <tableColumn id="7" xr3:uid="{00000000-0010-0000-0000-000007000000}" name="6 /2022" totalsRowFunction="custom" dataDxfId="32" totalsRowDxfId="31" dataCellStyle="normální 2">
      <totalsRowFormula>SUM(G10:G11)</totalsRowFormula>
    </tableColumn>
    <tableColumn id="8" xr3:uid="{00000000-0010-0000-0000-000008000000}" name="7 /2022" totalsRowFunction="custom" dataDxfId="30" totalsRowDxfId="29" dataCellStyle="normální 2">
      <totalsRowFormula>SUM(H10:H11)</totalsRowFormula>
    </tableColumn>
    <tableColumn id="9" xr3:uid="{00000000-0010-0000-0000-000009000000}" name="8 /2022" totalsRowFunction="custom" dataDxfId="28" totalsRowDxfId="27" dataCellStyle="normální 2">
      <totalsRowFormula>SUM(I10:I11)</totalsRowFormula>
    </tableColumn>
    <tableColumn id="10" xr3:uid="{00000000-0010-0000-0000-00000A000000}" name="9 /2022" totalsRowFunction="custom" dataDxfId="26" totalsRowDxfId="25" dataCellStyle="normální 2">
      <totalsRowFormula>SUM(J10:J11)</totalsRowFormula>
    </tableColumn>
    <tableColumn id="11" xr3:uid="{00000000-0010-0000-0000-00000B000000}" name="10 /2022" totalsRowFunction="custom" dataDxfId="24" totalsRowDxfId="23" dataCellStyle="normální 2">
      <totalsRowFormula>SUM(K10:K11)</totalsRowFormula>
    </tableColumn>
    <tableColumn id="12" xr3:uid="{00000000-0010-0000-0000-00000C000000}" name="11 /2022" totalsRowFunction="custom" dataDxfId="22" totalsRowDxfId="21" dataCellStyle="normální 2">
      <totalsRowFormula>SUM(L10:L11)</totalsRowFormula>
    </tableColumn>
    <tableColumn id="13" xr3:uid="{00000000-0010-0000-0000-00000D000000}" name="12 /2022" totalsRowFunction="custom" dataDxfId="20" totalsRowDxfId="19" dataCellStyle="normální 2">
      <totalsRowFormula>SUM(M10:M11)</totalsRowFormula>
    </tableColumn>
    <tableColumn id="14" xr3:uid="{00000000-0010-0000-0000-00000E000000}" name="Celkem" totalsRowFunction="custom" dataDxfId="18" totalsRowDxfId="17" dataCellStyle="normální 2">
      <calculatedColumnFormula>SUM(B4:M4)</calculatedColumnFormula>
      <totalsRowFormula>SUM(B12:M12)</totalsRow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ka4" displayName="Tabulka4" ref="A3:N7" totalsRowShown="0" headerRowDxfId="16" dataDxfId="15" tableBorderDxfId="14">
  <tableColumns count="14">
    <tableColumn id="1" xr3:uid="{00000000-0010-0000-0100-000001000000}" name="_" dataDxfId="13"/>
    <tableColumn id="2" xr3:uid="{00000000-0010-0000-0100-000002000000}" name="1 /2019" dataDxfId="12"/>
    <tableColumn id="3" xr3:uid="{00000000-0010-0000-0100-000003000000}" name="2 /2019" dataDxfId="11"/>
    <tableColumn id="4" xr3:uid="{00000000-0010-0000-0100-000004000000}" name="3 /2019" dataDxfId="10"/>
    <tableColumn id="5" xr3:uid="{00000000-0010-0000-0100-000005000000}" name="4 /2019" dataDxfId="9"/>
    <tableColumn id="6" xr3:uid="{00000000-0010-0000-0100-000006000000}" name="5 /2019" dataDxfId="8"/>
    <tableColumn id="7" xr3:uid="{00000000-0010-0000-0100-000007000000}" name="6 /2019" dataDxfId="7"/>
    <tableColumn id="8" xr3:uid="{00000000-0010-0000-0100-000008000000}" name="7 /2019" dataDxfId="6"/>
    <tableColumn id="9" xr3:uid="{00000000-0010-0000-0100-000009000000}" name="8 /2019" dataDxfId="5"/>
    <tableColumn id="10" xr3:uid="{00000000-0010-0000-0100-00000A000000}" name="9 /2019" dataDxfId="4"/>
    <tableColumn id="11" xr3:uid="{00000000-0010-0000-0100-00000B000000}" name="10 /2019" dataDxfId="3"/>
    <tableColumn id="12" xr3:uid="{00000000-0010-0000-0100-00000C000000}" name="11 /2019" dataDxfId="2"/>
    <tableColumn id="13" xr3:uid="{00000000-0010-0000-0100-00000D000000}" name="12 /2019" dataDxfId="1"/>
    <tableColumn id="14" xr3:uid="{00000000-0010-0000-0100-00000E000000}" name="Celkem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topLeftCell="A15" workbookViewId="0">
      <selection activeCell="B46" sqref="B46"/>
    </sheetView>
  </sheetViews>
  <sheetFormatPr defaultRowHeight="15" x14ac:dyDescent="0.25"/>
  <cols>
    <col min="1" max="1" width="31.85546875" style="3" customWidth="1"/>
    <col min="2" max="2" width="13" style="3" customWidth="1"/>
    <col min="3" max="3" width="10.28515625" style="3" customWidth="1"/>
    <col min="4" max="4" width="11.5703125" style="3" customWidth="1"/>
    <col min="5" max="5" width="10.85546875" style="3" customWidth="1"/>
    <col min="6" max="6" width="12" style="3" customWidth="1"/>
    <col min="7" max="7" width="12.42578125" style="3" customWidth="1"/>
    <col min="8" max="13" width="9.42578125" style="3" customWidth="1"/>
    <col min="14" max="14" width="13.85546875" style="3" customWidth="1"/>
    <col min="15" max="16384" width="9.140625" style="3"/>
  </cols>
  <sheetData>
    <row r="1" spans="1:14" ht="15.75" x14ac:dyDescent="0.25">
      <c r="A1" s="20" t="s">
        <v>0</v>
      </c>
      <c r="B1" s="20">
        <v>9501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x14ac:dyDescent="0.25">
      <c r="A3" s="63" t="s">
        <v>69</v>
      </c>
      <c r="B3" s="23" t="s">
        <v>111</v>
      </c>
      <c r="C3" s="23" t="s">
        <v>112</v>
      </c>
      <c r="D3" s="23" t="s">
        <v>113</v>
      </c>
      <c r="E3" s="23" t="s">
        <v>114</v>
      </c>
      <c r="F3" s="23" t="s">
        <v>115</v>
      </c>
      <c r="G3" s="23" t="s">
        <v>116</v>
      </c>
      <c r="H3" s="23" t="s">
        <v>117</v>
      </c>
      <c r="I3" s="23" t="s">
        <v>118</v>
      </c>
      <c r="J3" s="23" t="s">
        <v>119</v>
      </c>
      <c r="K3" s="23" t="s">
        <v>120</v>
      </c>
      <c r="L3" s="23" t="s">
        <v>121</v>
      </c>
      <c r="M3" s="23" t="s">
        <v>122</v>
      </c>
      <c r="N3" s="38" t="s">
        <v>1</v>
      </c>
    </row>
    <row r="4" spans="1:14" x14ac:dyDescent="0.25">
      <c r="A4" s="108" t="s">
        <v>86</v>
      </c>
      <c r="B4" s="41">
        <f>44929+2490</f>
        <v>47419</v>
      </c>
      <c r="C4" s="41">
        <f>39540+2379</f>
        <v>41919</v>
      </c>
      <c r="D4" s="41">
        <f>47999+2709</f>
        <v>50708</v>
      </c>
      <c r="E4" s="41">
        <f>41014+2338</f>
        <v>43352</v>
      </c>
      <c r="F4" s="41">
        <f>46906+2840</f>
        <v>49746</v>
      </c>
      <c r="G4" s="41">
        <f>45272+2545</f>
        <v>47817</v>
      </c>
      <c r="H4" s="41">
        <f>33995+2111</f>
        <v>36106</v>
      </c>
      <c r="I4" s="41">
        <f>40856+2543</f>
        <v>43399</v>
      </c>
      <c r="J4" s="40">
        <f>44309+2704</f>
        <v>47013</v>
      </c>
      <c r="K4" s="40">
        <f>44581+2549</f>
        <v>47130</v>
      </c>
      <c r="L4" s="26">
        <f>46689+3279</f>
        <v>49968</v>
      </c>
      <c r="M4" s="40">
        <f>41317+3237</f>
        <v>44554</v>
      </c>
      <c r="N4" s="42">
        <f>SUM(B4:M4)</f>
        <v>549131</v>
      </c>
    </row>
    <row r="5" spans="1:14" s="114" customFormat="1" ht="12" customHeight="1" x14ac:dyDescent="0.25">
      <c r="A5" s="110" t="s">
        <v>91</v>
      </c>
      <c r="B5" s="111">
        <v>2490</v>
      </c>
      <c r="C5" s="112">
        <v>2379</v>
      </c>
      <c r="D5" s="112">
        <v>2709</v>
      </c>
      <c r="E5" s="112">
        <v>2338</v>
      </c>
      <c r="F5" s="112">
        <v>2840</v>
      </c>
      <c r="G5" s="112">
        <v>2545</v>
      </c>
      <c r="H5" s="112">
        <v>2111</v>
      </c>
      <c r="I5" s="112">
        <v>2543</v>
      </c>
      <c r="J5" s="112">
        <v>2704</v>
      </c>
      <c r="K5" s="112">
        <v>2549</v>
      </c>
      <c r="L5" s="112">
        <v>3279</v>
      </c>
      <c r="M5" s="112">
        <v>3237</v>
      </c>
      <c r="N5" s="113">
        <f>SUM(B5:M5)</f>
        <v>31724</v>
      </c>
    </row>
    <row r="6" spans="1:14" x14ac:dyDescent="0.25">
      <c r="A6" s="108" t="s">
        <v>87</v>
      </c>
      <c r="B6" s="39">
        <v>652</v>
      </c>
      <c r="C6" s="41">
        <v>525</v>
      </c>
      <c r="D6" s="41">
        <v>567</v>
      </c>
      <c r="E6" s="41">
        <v>462</v>
      </c>
      <c r="F6" s="41">
        <v>575</v>
      </c>
      <c r="G6" s="41">
        <v>479</v>
      </c>
      <c r="H6" s="41">
        <v>302</v>
      </c>
      <c r="I6" s="41">
        <v>383</v>
      </c>
      <c r="J6" s="41">
        <v>426</v>
      </c>
      <c r="K6" s="41">
        <v>555</v>
      </c>
      <c r="L6" s="41">
        <v>721</v>
      </c>
      <c r="M6" s="41">
        <v>502</v>
      </c>
      <c r="N6" s="65">
        <f>SUM(B6:M6)</f>
        <v>6149</v>
      </c>
    </row>
    <row r="7" spans="1:14" x14ac:dyDescent="0.25">
      <c r="A7" s="108" t="s">
        <v>88</v>
      </c>
      <c r="B7" s="39">
        <f>2052+449+3106+1425</f>
        <v>7032</v>
      </c>
      <c r="C7" s="40">
        <f>2016+426+3021+1269</f>
        <v>6732</v>
      </c>
      <c r="D7" s="40">
        <f>2364+437+3287+1439</f>
        <v>7527</v>
      </c>
      <c r="E7" s="40">
        <f>1968+350+2853+1225</f>
        <v>6396</v>
      </c>
      <c r="F7" s="40">
        <f>2294+343+3320+1462</f>
        <v>7419</v>
      </c>
      <c r="G7" s="41">
        <f>2358+324+3090+1305</f>
        <v>7077</v>
      </c>
      <c r="H7" s="41">
        <f>1766+313+2075+876</f>
        <v>5030</v>
      </c>
      <c r="I7" s="41">
        <f>2164+272+2405+915</f>
        <v>5756</v>
      </c>
      <c r="J7" s="40">
        <f>2110+308+2854+1239</f>
        <v>6511</v>
      </c>
      <c r="K7" s="40">
        <f>2130+262+2972+1175</f>
        <v>6539</v>
      </c>
      <c r="L7" s="93">
        <f>2456+382+3275+1278</f>
        <v>7391</v>
      </c>
      <c r="M7" s="40">
        <f>2167+346+2439+867</f>
        <v>5819</v>
      </c>
      <c r="N7" s="42">
        <f t="shared" ref="N7:N11" si="0">SUM(B7:M7)</f>
        <v>79229</v>
      </c>
    </row>
    <row r="8" spans="1:14" ht="12" customHeight="1" x14ac:dyDescent="0.25">
      <c r="A8" s="110" t="s">
        <v>95</v>
      </c>
      <c r="B8" s="121">
        <v>449</v>
      </c>
      <c r="C8" s="122">
        <v>426</v>
      </c>
      <c r="D8" s="122">
        <v>437</v>
      </c>
      <c r="E8" s="41">
        <v>350</v>
      </c>
      <c r="F8" s="112">
        <v>343</v>
      </c>
      <c r="G8" s="112">
        <v>324</v>
      </c>
      <c r="H8" s="112">
        <v>313</v>
      </c>
      <c r="I8" s="112">
        <v>272</v>
      </c>
      <c r="J8" s="112">
        <v>308</v>
      </c>
      <c r="K8" s="112">
        <v>262</v>
      </c>
      <c r="L8" s="112">
        <v>382</v>
      </c>
      <c r="M8" s="112">
        <v>346</v>
      </c>
      <c r="N8" s="113">
        <f>SUM(B8:M8)</f>
        <v>4212</v>
      </c>
    </row>
    <row r="9" spans="1:14" ht="15.75" thickBot="1" x14ac:dyDescent="0.3">
      <c r="A9" s="108" t="s">
        <v>89</v>
      </c>
      <c r="B9" s="39">
        <v>1312</v>
      </c>
      <c r="C9" s="40">
        <v>997</v>
      </c>
      <c r="D9" s="40">
        <v>1432</v>
      </c>
      <c r="E9" s="40">
        <v>906</v>
      </c>
      <c r="F9" s="40">
        <v>925</v>
      </c>
      <c r="G9" s="41">
        <v>214</v>
      </c>
      <c r="H9" s="41">
        <v>99</v>
      </c>
      <c r="I9" s="41">
        <v>152</v>
      </c>
      <c r="J9" s="40">
        <v>609</v>
      </c>
      <c r="K9" s="40">
        <v>750</v>
      </c>
      <c r="L9" s="40">
        <v>1126</v>
      </c>
      <c r="M9" s="40">
        <v>758</v>
      </c>
      <c r="N9" s="42">
        <f t="shared" si="0"/>
        <v>9280</v>
      </c>
    </row>
    <row r="10" spans="1:14" ht="15.75" thickTop="1" x14ac:dyDescent="0.25">
      <c r="A10" s="67" t="s">
        <v>2</v>
      </c>
      <c r="B10" s="68">
        <f>B4+B6+B7+B9</f>
        <v>56415</v>
      </c>
      <c r="C10" s="68">
        <f>C4+C6+C7+C9</f>
        <v>50173</v>
      </c>
      <c r="D10" s="68">
        <f>D4+D6+D7+D9</f>
        <v>60234</v>
      </c>
      <c r="E10" s="68">
        <f t="shared" ref="E10:M10" si="1">E4+E6+E7+E9</f>
        <v>51116</v>
      </c>
      <c r="F10" s="68">
        <f t="shared" si="1"/>
        <v>58665</v>
      </c>
      <c r="G10" s="68">
        <f t="shared" si="1"/>
        <v>55587</v>
      </c>
      <c r="H10" s="68">
        <f t="shared" si="1"/>
        <v>41537</v>
      </c>
      <c r="I10" s="68">
        <f t="shared" si="1"/>
        <v>49690</v>
      </c>
      <c r="J10" s="68">
        <f t="shared" si="1"/>
        <v>54559</v>
      </c>
      <c r="K10" s="68">
        <f t="shared" si="1"/>
        <v>54974</v>
      </c>
      <c r="L10" s="68">
        <f t="shared" si="1"/>
        <v>59206</v>
      </c>
      <c r="M10" s="68">
        <f t="shared" si="1"/>
        <v>51633</v>
      </c>
      <c r="N10" s="69">
        <f t="shared" si="0"/>
        <v>643789</v>
      </c>
    </row>
    <row r="11" spans="1:14" x14ac:dyDescent="0.25">
      <c r="A11" s="109" t="s">
        <v>90</v>
      </c>
      <c r="B11" s="41">
        <v>23805</v>
      </c>
      <c r="C11" s="40">
        <v>22523</v>
      </c>
      <c r="D11" s="41">
        <v>27806</v>
      </c>
      <c r="E11" s="40">
        <v>26831</v>
      </c>
      <c r="F11" s="40">
        <v>28694</v>
      </c>
      <c r="G11" s="40">
        <v>27273</v>
      </c>
      <c r="H11" s="40">
        <v>22096</v>
      </c>
      <c r="I11" s="40">
        <v>22940</v>
      </c>
      <c r="J11" s="40">
        <v>25783</v>
      </c>
      <c r="K11" s="40">
        <v>28863</v>
      </c>
      <c r="L11" s="40">
        <v>28584</v>
      </c>
      <c r="M11" s="40">
        <v>24796</v>
      </c>
      <c r="N11" s="42">
        <f t="shared" si="0"/>
        <v>309994</v>
      </c>
    </row>
    <row r="12" spans="1:14" x14ac:dyDescent="0.25">
      <c r="A12" s="117" t="s">
        <v>3</v>
      </c>
      <c r="B12" s="118">
        <f t="shared" ref="B12:M12" si="2">SUM(B10:B11)</f>
        <v>80220</v>
      </c>
      <c r="C12" s="118">
        <f t="shared" si="2"/>
        <v>72696</v>
      </c>
      <c r="D12" s="118">
        <f t="shared" si="2"/>
        <v>88040</v>
      </c>
      <c r="E12" s="118">
        <f t="shared" si="2"/>
        <v>77947</v>
      </c>
      <c r="F12" s="118">
        <f t="shared" si="2"/>
        <v>87359</v>
      </c>
      <c r="G12" s="118">
        <f t="shared" si="2"/>
        <v>82860</v>
      </c>
      <c r="H12" s="118">
        <f t="shared" si="2"/>
        <v>63633</v>
      </c>
      <c r="I12" s="118">
        <f t="shared" si="2"/>
        <v>72630</v>
      </c>
      <c r="J12" s="118">
        <f t="shared" si="2"/>
        <v>80342</v>
      </c>
      <c r="K12" s="118">
        <f t="shared" si="2"/>
        <v>83837</v>
      </c>
      <c r="L12" s="118">
        <f t="shared" si="2"/>
        <v>87790</v>
      </c>
      <c r="M12" s="118">
        <f t="shared" si="2"/>
        <v>76429</v>
      </c>
      <c r="N12" s="119">
        <f>SUM(B12:M12)</f>
        <v>953783</v>
      </c>
    </row>
    <row r="13" spans="1:14" x14ac:dyDescent="0.25">
      <c r="A13" s="94"/>
      <c r="B13" s="95">
        <f t="shared" ref="B13:M13" si="3">B10-B5-B8</f>
        <v>53476</v>
      </c>
      <c r="C13" s="95">
        <f t="shared" si="3"/>
        <v>47368</v>
      </c>
      <c r="D13" s="95">
        <f>D10-D5-D8</f>
        <v>57088</v>
      </c>
      <c r="E13" s="95">
        <f t="shared" si="3"/>
        <v>48428</v>
      </c>
      <c r="F13" s="95">
        <f t="shared" si="3"/>
        <v>55482</v>
      </c>
      <c r="G13" s="95">
        <f t="shared" si="3"/>
        <v>52718</v>
      </c>
      <c r="H13" s="95">
        <f t="shared" si="3"/>
        <v>39113</v>
      </c>
      <c r="I13" s="95">
        <f>I10-I5-I8</f>
        <v>46875</v>
      </c>
      <c r="J13" s="95">
        <f t="shared" si="3"/>
        <v>51547</v>
      </c>
      <c r="K13" s="95">
        <f t="shared" si="3"/>
        <v>52163</v>
      </c>
      <c r="L13" s="95">
        <f t="shared" si="3"/>
        <v>55545</v>
      </c>
      <c r="M13" s="95">
        <f t="shared" si="3"/>
        <v>48050</v>
      </c>
      <c r="N13" s="95"/>
    </row>
    <row r="14" spans="1:14" x14ac:dyDescent="0.25">
      <c r="A14" s="96" t="s">
        <v>78</v>
      </c>
      <c r="B14" s="97">
        <f>21643+453+503+0</f>
        <v>22599</v>
      </c>
      <c r="C14" s="98">
        <f>19759+577+595+0</f>
        <v>20931</v>
      </c>
      <c r="D14" s="98">
        <f>24910+428+647+0</f>
        <v>25985</v>
      </c>
      <c r="E14" s="98">
        <f>24109+301+719+138</f>
        <v>25267</v>
      </c>
      <c r="F14" s="98">
        <f>26322+4+720+293</f>
        <v>27339</v>
      </c>
      <c r="G14" s="98">
        <f>24611+700+346</f>
        <v>25657</v>
      </c>
      <c r="H14" s="98">
        <f>19735+0+760+300</f>
        <v>20795</v>
      </c>
      <c r="I14" s="98">
        <f>20435+0+744+294</f>
        <v>21473</v>
      </c>
      <c r="J14" s="98">
        <f>23225+0+728+245</f>
        <v>24198</v>
      </c>
      <c r="K14" s="98">
        <f>26072+0+724+252</f>
        <v>27048</v>
      </c>
      <c r="L14" s="98">
        <f>25679+0+730+333</f>
        <v>26742</v>
      </c>
      <c r="M14" s="98">
        <f>22066+0+700+351</f>
        <v>23117</v>
      </c>
      <c r="N14" s="98">
        <f>SUM(B14:M14)</f>
        <v>291151</v>
      </c>
    </row>
    <row r="15" spans="1:14" x14ac:dyDescent="0.25">
      <c r="B15" s="66"/>
      <c r="C15" s="66"/>
      <c r="D15" s="66"/>
      <c r="E15" s="66"/>
      <c r="F15" s="66"/>
      <c r="G15" s="66"/>
      <c r="H15" s="66"/>
      <c r="I15" s="66"/>
    </row>
    <row r="16" spans="1:14" x14ac:dyDescent="0.25">
      <c r="B16" s="19" t="s">
        <v>123</v>
      </c>
      <c r="D16" s="59" t="s">
        <v>24</v>
      </c>
      <c r="G16" s="115"/>
      <c r="I16" s="66"/>
    </row>
    <row r="17" spans="1:14" x14ac:dyDescent="0.25">
      <c r="A17" s="43" t="s">
        <v>51</v>
      </c>
      <c r="B17" s="44">
        <f>52047417.67+3499954.16</f>
        <v>55547371.829999998</v>
      </c>
      <c r="C17"/>
      <c r="D17" s="53" t="s">
        <v>53</v>
      </c>
      <c r="E17" s="126" t="s">
        <v>54</v>
      </c>
      <c r="F17" s="127"/>
      <c r="G17" s="50">
        <v>24067792.710000001</v>
      </c>
    </row>
    <row r="18" spans="1:14" x14ac:dyDescent="0.25">
      <c r="A18" s="31" t="s">
        <v>6</v>
      </c>
      <c r="B18" s="44">
        <v>100.72</v>
      </c>
      <c r="C18"/>
      <c r="D18" s="54" t="s">
        <v>52</v>
      </c>
      <c r="E18" s="55" t="s">
        <v>55</v>
      </c>
      <c r="F18" s="56"/>
      <c r="G18" s="50">
        <v>3425799.67</v>
      </c>
    </row>
    <row r="19" spans="1:14" x14ac:dyDescent="0.25">
      <c r="A19" s="45" t="s">
        <v>13</v>
      </c>
      <c r="B19" s="44">
        <v>299.83999999999997</v>
      </c>
      <c r="C19"/>
      <c r="D19" s="128" t="s">
        <v>63</v>
      </c>
      <c r="E19" s="129"/>
      <c r="F19" s="130"/>
      <c r="G19" s="52">
        <f>SUM(G17:G18)</f>
        <v>27493592.380000003</v>
      </c>
    </row>
    <row r="20" spans="1:14" x14ac:dyDescent="0.25">
      <c r="A20" s="31" t="s">
        <v>7</v>
      </c>
      <c r="B20" s="44">
        <v>0</v>
      </c>
      <c r="C20"/>
      <c r="D20" s="54" t="s">
        <v>56</v>
      </c>
      <c r="E20" s="126" t="s">
        <v>61</v>
      </c>
      <c r="F20" s="127"/>
      <c r="G20" s="50">
        <v>21676525.210000001</v>
      </c>
      <c r="H20" s="116">
        <f>B21-G20</f>
        <v>0</v>
      </c>
      <c r="I20" s="124"/>
    </row>
    <row r="21" spans="1:14" x14ac:dyDescent="0.25">
      <c r="A21" s="45" t="s">
        <v>8</v>
      </c>
      <c r="B21" s="44">
        <v>21676525.210000001</v>
      </c>
      <c r="C21"/>
      <c r="D21" s="54" t="s">
        <v>57</v>
      </c>
      <c r="E21" s="57" t="s">
        <v>59</v>
      </c>
      <c r="F21" s="58"/>
      <c r="G21" s="100">
        <v>585635.28</v>
      </c>
      <c r="H21" s="116">
        <f>B22-G21</f>
        <v>0</v>
      </c>
    </row>
    <row r="22" spans="1:14" x14ac:dyDescent="0.25">
      <c r="A22" s="45" t="s">
        <v>9</v>
      </c>
      <c r="B22" s="44">
        <v>585635.28</v>
      </c>
      <c r="C22"/>
      <c r="D22" s="54" t="s">
        <v>58</v>
      </c>
      <c r="E22" s="57" t="s">
        <v>60</v>
      </c>
      <c r="F22" s="58"/>
      <c r="G22" s="50">
        <v>1802784.97</v>
      </c>
      <c r="H22" s="116">
        <f>B23-G22</f>
        <v>0</v>
      </c>
    </row>
    <row r="23" spans="1:14" x14ac:dyDescent="0.25">
      <c r="A23" s="22" t="s">
        <v>10</v>
      </c>
      <c r="B23" s="44">
        <v>1802784.97</v>
      </c>
      <c r="C23"/>
      <c r="D23" s="128" t="s">
        <v>63</v>
      </c>
      <c r="E23" s="129"/>
      <c r="F23" s="130"/>
      <c r="G23" s="52">
        <f>SUM(G20:G22)</f>
        <v>24064945.460000001</v>
      </c>
    </row>
    <row r="24" spans="1:14" x14ac:dyDescent="0.25">
      <c r="A24" s="22" t="s">
        <v>94</v>
      </c>
      <c r="B24" s="44">
        <v>3690.66</v>
      </c>
      <c r="C24"/>
      <c r="D24" s="128" t="s">
        <v>62</v>
      </c>
      <c r="E24" s="129"/>
      <c r="F24" s="130"/>
      <c r="G24" s="46">
        <f>G19+G23</f>
        <v>51558537.840000004</v>
      </c>
      <c r="M24" s="1"/>
      <c r="N24" s="1"/>
    </row>
    <row r="25" spans="1:14" x14ac:dyDescent="0.25">
      <c r="A25" s="14" t="s">
        <v>11</v>
      </c>
      <c r="B25" s="44">
        <v>78145.740000000005</v>
      </c>
      <c r="C25"/>
      <c r="D25" s="4"/>
      <c r="G25" s="11"/>
      <c r="M25" s="1"/>
      <c r="N25" s="1"/>
    </row>
    <row r="26" spans="1:14" x14ac:dyDescent="0.25">
      <c r="A26" s="14" t="s">
        <v>96</v>
      </c>
      <c r="B26" s="44">
        <v>23948</v>
      </c>
      <c r="C26"/>
      <c r="D26" s="125" t="s">
        <v>79</v>
      </c>
      <c r="E26" s="125"/>
      <c r="F26" s="125"/>
      <c r="G26" s="51">
        <f>B40/G24*G19</f>
        <v>16515188.708889741</v>
      </c>
    </row>
    <row r="27" spans="1:14" x14ac:dyDescent="0.25">
      <c r="A27" s="45" t="s">
        <v>12</v>
      </c>
      <c r="B27" s="44">
        <v>0</v>
      </c>
      <c r="C27"/>
    </row>
    <row r="28" spans="1:14" x14ac:dyDescent="0.25">
      <c r="A28" s="45" t="s">
        <v>14</v>
      </c>
      <c r="B28" s="44">
        <v>0</v>
      </c>
      <c r="C28"/>
    </row>
    <row r="29" spans="1:14" x14ac:dyDescent="0.25">
      <c r="A29" s="14" t="s">
        <v>15</v>
      </c>
      <c r="B29" s="44">
        <v>0</v>
      </c>
      <c r="C29"/>
    </row>
    <row r="30" spans="1:14" x14ac:dyDescent="0.25">
      <c r="A30" s="45" t="s">
        <v>16</v>
      </c>
      <c r="B30" s="44">
        <v>396848.19</v>
      </c>
      <c r="C30"/>
    </row>
    <row r="31" spans="1:14" x14ac:dyDescent="0.25">
      <c r="A31" s="45" t="s">
        <v>110</v>
      </c>
      <c r="B31" s="123">
        <v>0</v>
      </c>
      <c r="C31"/>
    </row>
    <row r="32" spans="1:14" x14ac:dyDescent="0.25">
      <c r="A32" s="45" t="s">
        <v>17</v>
      </c>
      <c r="B32" s="44">
        <v>0</v>
      </c>
      <c r="C32"/>
    </row>
    <row r="33" spans="1:6" x14ac:dyDescent="0.25">
      <c r="A33" s="45" t="s">
        <v>19</v>
      </c>
      <c r="B33" s="44">
        <v>1654.54</v>
      </c>
      <c r="C33"/>
    </row>
    <row r="34" spans="1:6" x14ac:dyDescent="0.25">
      <c r="A34" s="22" t="s">
        <v>71</v>
      </c>
      <c r="B34" s="44">
        <v>0</v>
      </c>
      <c r="C34"/>
    </row>
    <row r="35" spans="1:6" x14ac:dyDescent="0.25">
      <c r="A35" s="22" t="s">
        <v>70</v>
      </c>
      <c r="B35" s="44">
        <v>6703</v>
      </c>
      <c r="C35"/>
    </row>
    <row r="36" spans="1:6" x14ac:dyDescent="0.25">
      <c r="A36" s="45" t="s">
        <v>18</v>
      </c>
      <c r="B36" s="44">
        <v>0</v>
      </c>
      <c r="C36"/>
    </row>
    <row r="37" spans="1:6" x14ac:dyDescent="0.25">
      <c r="A37" s="22" t="s">
        <v>76</v>
      </c>
      <c r="B37" s="44">
        <v>220</v>
      </c>
      <c r="C37"/>
    </row>
    <row r="38" spans="1:6" x14ac:dyDescent="0.25">
      <c r="A38" s="22" t="s">
        <v>72</v>
      </c>
      <c r="B38" s="44">
        <v>0</v>
      </c>
      <c r="C38"/>
    </row>
    <row r="39" spans="1:6" x14ac:dyDescent="0.25">
      <c r="A39" s="22" t="s">
        <v>85</v>
      </c>
      <c r="B39" s="44">
        <v>0</v>
      </c>
    </row>
    <row r="40" spans="1:6" x14ac:dyDescent="0.25">
      <c r="A40" s="32" t="s">
        <v>21</v>
      </c>
      <c r="B40" s="46">
        <f>B17-SUM(B18:B39)</f>
        <v>30970815.68</v>
      </c>
    </row>
    <row r="41" spans="1:6" ht="15.75" thickBot="1" x14ac:dyDescent="0.3">
      <c r="A41" s="47" t="s">
        <v>22</v>
      </c>
      <c r="B41" s="48">
        <f>G26</f>
        <v>16515188.708889741</v>
      </c>
    </row>
    <row r="42" spans="1:6" x14ac:dyDescent="0.25">
      <c r="A42" s="5"/>
      <c r="B42" s="11">
        <f>B40-B41</f>
        <v>14455626.971110258</v>
      </c>
    </row>
    <row r="43" spans="1:6" ht="15.75" thickBot="1" x14ac:dyDescent="0.3">
      <c r="A43" s="5"/>
    </row>
    <row r="44" spans="1:6" x14ac:dyDescent="0.25">
      <c r="A44" s="61"/>
      <c r="B44" s="49">
        <f>B42/N10*(N7+N9)/B40*100</f>
        <v>6.4169428469242593</v>
      </c>
      <c r="C44" s="70" t="s">
        <v>23</v>
      </c>
      <c r="D44" s="74">
        <f>B40/100*B44</f>
        <v>1987379.5414118569</v>
      </c>
      <c r="E44" s="70" t="s">
        <v>37</v>
      </c>
      <c r="F44" s="75"/>
    </row>
    <row r="48" spans="1:6" x14ac:dyDescent="0.25">
      <c r="A48"/>
    </row>
    <row r="49" spans="1:1" x14ac:dyDescent="0.25">
      <c r="A49" s="76"/>
    </row>
  </sheetData>
  <mergeCells count="6">
    <mergeCell ref="D26:F26"/>
    <mergeCell ref="E17:F17"/>
    <mergeCell ref="D19:F19"/>
    <mergeCell ref="E20:F20"/>
    <mergeCell ref="D23:F23"/>
    <mergeCell ref="D24:F24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&amp;LZpracoval: OEC, H. Silná
&amp;D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workbookViewId="0">
      <selection activeCell="B26" sqref="B26"/>
    </sheetView>
  </sheetViews>
  <sheetFormatPr defaultRowHeight="15" x14ac:dyDescent="0.25"/>
  <cols>
    <col min="1" max="1" width="33.5703125" style="1" customWidth="1"/>
    <col min="2" max="2" width="13.28515625" style="1" customWidth="1"/>
    <col min="3" max="3" width="9.140625" style="1"/>
    <col min="4" max="4" width="13.5703125" style="1" customWidth="1"/>
    <col min="5" max="10" width="9.140625" style="1"/>
    <col min="11" max="13" width="10" style="1" customWidth="1"/>
    <col min="14" max="14" width="9.85546875" style="1" customWidth="1"/>
    <col min="15" max="16384" width="9.140625" style="1"/>
  </cols>
  <sheetData>
    <row r="1" spans="1:14" ht="15.75" x14ac:dyDescent="0.25">
      <c r="A1" s="20" t="s">
        <v>4</v>
      </c>
      <c r="B1" s="21">
        <v>9401</v>
      </c>
    </row>
    <row r="3" spans="1:14" x14ac:dyDescent="0.25">
      <c r="A3" s="64" t="s">
        <v>69</v>
      </c>
      <c r="B3" s="23" t="s">
        <v>97</v>
      </c>
      <c r="C3" s="23" t="s">
        <v>98</v>
      </c>
      <c r="D3" s="23" t="s">
        <v>99</v>
      </c>
      <c r="E3" s="23" t="s">
        <v>100</v>
      </c>
      <c r="F3" s="23" t="s">
        <v>101</v>
      </c>
      <c r="G3" s="23" t="s">
        <v>102</v>
      </c>
      <c r="H3" s="23" t="s">
        <v>103</v>
      </c>
      <c r="I3" s="23" t="s">
        <v>104</v>
      </c>
      <c r="J3" s="23" t="s">
        <v>105</v>
      </c>
      <c r="K3" s="23" t="s">
        <v>106</v>
      </c>
      <c r="L3" s="23" t="s">
        <v>107</v>
      </c>
      <c r="M3" s="23" t="s">
        <v>108</v>
      </c>
      <c r="N3" s="24" t="s">
        <v>1</v>
      </c>
    </row>
    <row r="4" spans="1:14" x14ac:dyDescent="0.25">
      <c r="A4" s="99" t="s">
        <v>81</v>
      </c>
      <c r="B4" s="101">
        <v>3779.68</v>
      </c>
      <c r="C4" s="93">
        <v>3956.23</v>
      </c>
      <c r="D4" s="102">
        <v>3801.02</v>
      </c>
      <c r="E4" s="103"/>
      <c r="F4" s="93"/>
      <c r="G4" s="104"/>
      <c r="H4" s="105"/>
      <c r="I4" s="93"/>
      <c r="J4" s="106"/>
      <c r="K4" s="103"/>
      <c r="L4" s="93"/>
      <c r="M4" s="107"/>
      <c r="N4" s="81">
        <f>SUM(B4:M4)</f>
        <v>11536.93</v>
      </c>
    </row>
    <row r="5" spans="1:14" x14ac:dyDescent="0.25">
      <c r="A5" s="99" t="s">
        <v>80</v>
      </c>
      <c r="B5" s="25">
        <v>97251.25</v>
      </c>
      <c r="C5" s="26">
        <v>90589.86</v>
      </c>
      <c r="D5" s="77">
        <v>87512.58</v>
      </c>
      <c r="E5" s="79"/>
      <c r="F5" s="26"/>
      <c r="G5" s="80"/>
      <c r="H5" s="78"/>
      <c r="I5" s="26"/>
      <c r="J5" s="27"/>
      <c r="K5" s="79"/>
      <c r="L5" s="26"/>
      <c r="M5" s="83"/>
      <c r="N5" s="82">
        <f>SUM(B5:M5)</f>
        <v>275353.69</v>
      </c>
    </row>
    <row r="6" spans="1:14" ht="15.75" thickBot="1" x14ac:dyDescent="0.3">
      <c r="A6" s="99" t="s">
        <v>82</v>
      </c>
      <c r="B6" s="101">
        <v>2.7</v>
      </c>
      <c r="C6" s="93">
        <v>3.1</v>
      </c>
      <c r="D6" s="102">
        <v>0</v>
      </c>
      <c r="E6" s="103"/>
      <c r="F6" s="93"/>
      <c r="G6" s="104"/>
      <c r="H6" s="105"/>
      <c r="I6" s="93"/>
      <c r="J6" s="106"/>
      <c r="K6" s="103"/>
      <c r="L6" s="93"/>
      <c r="M6" s="107"/>
      <c r="N6" s="81">
        <f>SUM(B6:M6)</f>
        <v>5.8000000000000007</v>
      </c>
    </row>
    <row r="7" spans="1:14" ht="15.75" thickTop="1" x14ac:dyDescent="0.25">
      <c r="A7" s="84" t="s">
        <v>5</v>
      </c>
      <c r="B7" s="85">
        <f t="shared" ref="B7:N7" si="0">SUM(B4:B6)</f>
        <v>101033.62999999999</v>
      </c>
      <c r="C7" s="85">
        <f t="shared" si="0"/>
        <v>94549.19</v>
      </c>
      <c r="D7" s="86">
        <f t="shared" si="0"/>
        <v>91313.600000000006</v>
      </c>
      <c r="E7" s="87">
        <f t="shared" si="0"/>
        <v>0</v>
      </c>
      <c r="F7" s="85">
        <f t="shared" si="0"/>
        <v>0</v>
      </c>
      <c r="G7" s="88">
        <f t="shared" si="0"/>
        <v>0</v>
      </c>
      <c r="H7" s="89">
        <f t="shared" si="0"/>
        <v>0</v>
      </c>
      <c r="I7" s="85">
        <f t="shared" si="0"/>
        <v>0</v>
      </c>
      <c r="J7" s="86">
        <f t="shared" si="0"/>
        <v>0</v>
      </c>
      <c r="K7" s="87">
        <f t="shared" si="0"/>
        <v>0</v>
      </c>
      <c r="L7" s="85">
        <f t="shared" si="0"/>
        <v>0</v>
      </c>
      <c r="M7" s="90">
        <f t="shared" si="0"/>
        <v>0</v>
      </c>
      <c r="N7" s="91">
        <f t="shared" si="0"/>
        <v>286896.42</v>
      </c>
    </row>
    <row r="10" spans="1:14" x14ac:dyDescent="0.25">
      <c r="B10" s="19" t="s">
        <v>109</v>
      </c>
    </row>
    <row r="11" spans="1:14" x14ac:dyDescent="0.25">
      <c r="A11" s="28" t="s">
        <v>51</v>
      </c>
      <c r="B11" s="29">
        <f>8366893.93+851026.81</f>
        <v>9217920.7400000002</v>
      </c>
      <c r="C11"/>
      <c r="D11" s="6"/>
      <c r="G11" s="7"/>
      <c r="M11" s="37" t="s">
        <v>50</v>
      </c>
      <c r="N11" s="36">
        <f>N4+N6</f>
        <v>11542.73</v>
      </c>
    </row>
    <row r="12" spans="1:14" x14ac:dyDescent="0.25">
      <c r="A12" s="28" t="s">
        <v>25</v>
      </c>
      <c r="B12" s="30">
        <v>0</v>
      </c>
      <c r="C12"/>
      <c r="D12" s="7"/>
      <c r="G12" s="7"/>
      <c r="N12" s="7"/>
    </row>
    <row r="13" spans="1:14" x14ac:dyDescent="0.25">
      <c r="A13" s="31" t="s">
        <v>26</v>
      </c>
      <c r="B13" s="30">
        <v>42526.720000000001</v>
      </c>
      <c r="C13"/>
      <c r="D13" s="7"/>
      <c r="G13" s="7"/>
      <c r="N13" s="7"/>
    </row>
    <row r="14" spans="1:14" x14ac:dyDescent="0.25">
      <c r="A14" s="31" t="s">
        <v>11</v>
      </c>
      <c r="B14" s="30">
        <v>3691.2</v>
      </c>
      <c r="C14"/>
      <c r="D14" s="7"/>
      <c r="G14" s="7"/>
      <c r="N14" s="7"/>
    </row>
    <row r="15" spans="1:14" x14ac:dyDescent="0.25">
      <c r="A15" s="28" t="s">
        <v>27</v>
      </c>
      <c r="B15" s="30">
        <v>256519.07</v>
      </c>
      <c r="C15"/>
      <c r="D15" s="7"/>
      <c r="G15" s="7"/>
      <c r="N15" s="7"/>
    </row>
    <row r="16" spans="1:14" x14ac:dyDescent="0.25">
      <c r="A16" s="31" t="s">
        <v>28</v>
      </c>
      <c r="B16" s="30">
        <v>265334.34000000003</v>
      </c>
      <c r="C16"/>
    </row>
    <row r="17" spans="1:7" x14ac:dyDescent="0.25">
      <c r="A17" s="28" t="s">
        <v>29</v>
      </c>
      <c r="B17" s="30">
        <v>0</v>
      </c>
      <c r="C17"/>
    </row>
    <row r="18" spans="1:7" x14ac:dyDescent="0.25">
      <c r="A18" s="12" t="s">
        <v>14</v>
      </c>
      <c r="B18" s="30">
        <v>0</v>
      </c>
      <c r="C18"/>
    </row>
    <row r="19" spans="1:7" x14ac:dyDescent="0.25">
      <c r="A19" s="22" t="s">
        <v>73</v>
      </c>
      <c r="B19" s="30">
        <v>0</v>
      </c>
      <c r="C19"/>
    </row>
    <row r="20" spans="1:7" x14ac:dyDescent="0.25">
      <c r="A20" s="14" t="s">
        <v>30</v>
      </c>
      <c r="B20" s="30">
        <v>0</v>
      </c>
      <c r="C20"/>
    </row>
    <row r="21" spans="1:7" x14ac:dyDescent="0.25">
      <c r="A21" s="12" t="s">
        <v>31</v>
      </c>
      <c r="B21" s="30">
        <v>0</v>
      </c>
      <c r="C21"/>
    </row>
    <row r="22" spans="1:7" x14ac:dyDescent="0.25">
      <c r="A22" s="12" t="s">
        <v>20</v>
      </c>
      <c r="B22" s="30">
        <v>589.79999999999995</v>
      </c>
      <c r="C22"/>
      <c r="G22" s="7"/>
    </row>
    <row r="23" spans="1:7" x14ac:dyDescent="0.25">
      <c r="A23" s="14" t="s">
        <v>49</v>
      </c>
      <c r="B23" s="30">
        <v>0</v>
      </c>
      <c r="C23"/>
      <c r="G23" s="7"/>
    </row>
    <row r="24" spans="1:7" x14ac:dyDescent="0.25">
      <c r="A24" s="14" t="s">
        <v>67</v>
      </c>
      <c r="B24" s="30">
        <v>0</v>
      </c>
      <c r="C24"/>
      <c r="G24" s="7"/>
    </row>
    <row r="25" spans="1:7" x14ac:dyDescent="0.25">
      <c r="A25" s="34" t="s">
        <v>68</v>
      </c>
      <c r="B25" s="35">
        <v>294850.2</v>
      </c>
      <c r="C25"/>
      <c r="G25" s="7"/>
    </row>
    <row r="26" spans="1:7" x14ac:dyDescent="0.25">
      <c r="A26" s="34" t="s">
        <v>83</v>
      </c>
      <c r="B26" s="35">
        <v>0</v>
      </c>
      <c r="C26"/>
      <c r="G26" s="7"/>
    </row>
    <row r="27" spans="1:7" x14ac:dyDescent="0.25">
      <c r="A27" s="32" t="s">
        <v>21</v>
      </c>
      <c r="B27" s="33">
        <f>B11-SUM(B12:B26)</f>
        <v>8354409.4100000001</v>
      </c>
    </row>
    <row r="28" spans="1:7" ht="15.75" thickBot="1" x14ac:dyDescent="0.3">
      <c r="A28" s="8"/>
      <c r="B28" s="9"/>
    </row>
    <row r="29" spans="1:7" x14ac:dyDescent="0.25">
      <c r="A29" s="61"/>
      <c r="B29" s="60">
        <f>B27/N7*N11/B27*100</f>
        <v>4.0233091789712816</v>
      </c>
      <c r="C29" s="70" t="s">
        <v>23</v>
      </c>
      <c r="D29" s="71">
        <f>B27/100*B29</f>
        <v>336123.72064137051</v>
      </c>
      <c r="E29" s="73" t="s">
        <v>37</v>
      </c>
      <c r="F29" s="72"/>
    </row>
    <row r="30" spans="1:7" x14ac:dyDescent="0.25">
      <c r="A30" s="8"/>
    </row>
    <row r="32" spans="1:7" x14ac:dyDescent="0.25">
      <c r="A32"/>
    </row>
    <row r="33" spans="1:1" x14ac:dyDescent="0.25">
      <c r="A33" s="76"/>
    </row>
  </sheetData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headerFooter>
    <oddFooter>&amp;LZpracoval: OEC, R.Schwarz
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topLeftCell="A4" workbookViewId="0">
      <selection activeCell="B32" sqref="B32:C32"/>
    </sheetView>
  </sheetViews>
  <sheetFormatPr defaultRowHeight="15" x14ac:dyDescent="0.25"/>
  <cols>
    <col min="1" max="1" width="36.7109375" style="1" bestFit="1" customWidth="1"/>
    <col min="2" max="2" width="15.7109375" style="1" customWidth="1"/>
    <col min="3" max="3" width="9.140625" style="1"/>
    <col min="4" max="4" width="14.7109375" style="1" customWidth="1"/>
    <col min="5" max="16384" width="9.140625" style="1"/>
  </cols>
  <sheetData>
    <row r="1" spans="1:6" ht="15.75" customHeight="1" x14ac:dyDescent="0.25">
      <c r="A1" s="20" t="s">
        <v>39</v>
      </c>
      <c r="B1" s="21" t="s">
        <v>123</v>
      </c>
    </row>
    <row r="2" spans="1:6" ht="15.75" customHeight="1" x14ac:dyDescent="0.25"/>
    <row r="3" spans="1:6" ht="15.75" customHeight="1" x14ac:dyDescent="0.25">
      <c r="A3" s="12" t="s">
        <v>48</v>
      </c>
      <c r="B3" s="120">
        <f>292407895.34+1498152.9</f>
        <v>293906048.23999995</v>
      </c>
      <c r="C3" s="92"/>
      <c r="F3" s="6"/>
    </row>
    <row r="4" spans="1:6" ht="15.75" customHeight="1" x14ac:dyDescent="0.25">
      <c r="A4" s="14" t="s">
        <v>32</v>
      </c>
      <c r="B4" s="15">
        <v>129.44</v>
      </c>
      <c r="C4" s="92"/>
    </row>
    <row r="5" spans="1:6" ht="15.75" customHeight="1" x14ac:dyDescent="0.25">
      <c r="A5" s="12" t="s">
        <v>40</v>
      </c>
      <c r="B5" s="13">
        <v>5149.74</v>
      </c>
      <c r="C5" s="92"/>
    </row>
    <row r="6" spans="1:6" ht="15.75" customHeight="1" x14ac:dyDescent="0.25">
      <c r="A6" s="12" t="s">
        <v>41</v>
      </c>
      <c r="B6" s="13">
        <v>8440.67</v>
      </c>
      <c r="C6" s="92"/>
    </row>
    <row r="7" spans="1:6" ht="15.75" customHeight="1" x14ac:dyDescent="0.25">
      <c r="A7" s="14" t="s">
        <v>42</v>
      </c>
      <c r="B7" s="13">
        <v>0</v>
      </c>
      <c r="C7" s="92"/>
    </row>
    <row r="8" spans="1:6" ht="15.75" customHeight="1" x14ac:dyDescent="0.25">
      <c r="A8" s="14" t="s">
        <v>84</v>
      </c>
      <c r="B8" s="13">
        <v>0</v>
      </c>
      <c r="C8" s="92"/>
    </row>
    <row r="9" spans="1:6" ht="15.75" customHeight="1" x14ac:dyDescent="0.25">
      <c r="A9" s="12" t="s">
        <v>33</v>
      </c>
      <c r="B9" s="13">
        <v>0</v>
      </c>
      <c r="C9" s="92"/>
    </row>
    <row r="10" spans="1:6" ht="15.75" customHeight="1" x14ac:dyDescent="0.25">
      <c r="A10" s="12" t="s">
        <v>34</v>
      </c>
      <c r="B10" s="13">
        <v>279269550.07999998</v>
      </c>
      <c r="C10" s="92"/>
    </row>
    <row r="11" spans="1:6" ht="15.75" customHeight="1" x14ac:dyDescent="0.25">
      <c r="A11" s="12" t="s">
        <v>35</v>
      </c>
      <c r="B11" s="13">
        <v>11472</v>
      </c>
      <c r="C11" s="92"/>
    </row>
    <row r="12" spans="1:6" ht="15.75" customHeight="1" x14ac:dyDescent="0.25">
      <c r="A12" s="22" t="s">
        <v>74</v>
      </c>
      <c r="B12" s="13">
        <v>0</v>
      </c>
      <c r="C12" s="92"/>
    </row>
    <row r="13" spans="1:6" ht="15.75" customHeight="1" x14ac:dyDescent="0.25">
      <c r="A13" s="12" t="s">
        <v>43</v>
      </c>
      <c r="B13" s="13">
        <v>0</v>
      </c>
      <c r="C13" s="92"/>
    </row>
    <row r="14" spans="1:6" ht="15.75" customHeight="1" x14ac:dyDescent="0.25">
      <c r="A14" s="12" t="s">
        <v>44</v>
      </c>
      <c r="B14" s="13">
        <v>0</v>
      </c>
      <c r="C14" s="92"/>
    </row>
    <row r="15" spans="1:6" ht="15.75" customHeight="1" x14ac:dyDescent="0.25">
      <c r="A15" s="12" t="s">
        <v>45</v>
      </c>
      <c r="B15" s="13">
        <v>0</v>
      </c>
      <c r="C15" s="92"/>
    </row>
    <row r="16" spans="1:6" ht="15.75" customHeight="1" x14ac:dyDescent="0.25">
      <c r="A16" s="12" t="s">
        <v>31</v>
      </c>
      <c r="B16" s="13">
        <v>0</v>
      </c>
      <c r="C16" s="92"/>
    </row>
    <row r="17" spans="1:6" ht="15.75" customHeight="1" x14ac:dyDescent="0.25">
      <c r="A17" s="22" t="s">
        <v>66</v>
      </c>
      <c r="B17" s="13">
        <v>0</v>
      </c>
      <c r="C17" s="92"/>
    </row>
    <row r="18" spans="1:6" ht="15.75" customHeight="1" x14ac:dyDescent="0.25">
      <c r="A18" s="22" t="s">
        <v>93</v>
      </c>
      <c r="B18" s="13">
        <v>3600</v>
      </c>
      <c r="C18" s="92"/>
    </row>
    <row r="19" spans="1:6" ht="15.75" customHeight="1" x14ac:dyDescent="0.25">
      <c r="A19" s="22" t="s">
        <v>92</v>
      </c>
      <c r="B19" s="13">
        <v>7700</v>
      </c>
      <c r="C19" s="92"/>
    </row>
    <row r="20" spans="1:6" ht="15.75" customHeight="1" x14ac:dyDescent="0.25">
      <c r="A20" s="12" t="s">
        <v>20</v>
      </c>
      <c r="B20" s="13">
        <v>0</v>
      </c>
      <c r="C20" s="92"/>
    </row>
    <row r="21" spans="1:6" ht="15.75" customHeight="1" x14ac:dyDescent="0.25">
      <c r="A21" s="22" t="s">
        <v>64</v>
      </c>
      <c r="B21" s="13">
        <v>74479.350000000006</v>
      </c>
      <c r="C21" s="92"/>
    </row>
    <row r="22" spans="1:6" ht="15.75" customHeight="1" x14ac:dyDescent="0.25">
      <c r="A22" s="22" t="s">
        <v>75</v>
      </c>
      <c r="B22" s="13">
        <v>0</v>
      </c>
      <c r="C22" s="92"/>
    </row>
    <row r="23" spans="1:6" ht="15.75" customHeight="1" x14ac:dyDescent="0.25">
      <c r="A23" s="22" t="s">
        <v>65</v>
      </c>
      <c r="B23" s="13">
        <v>500</v>
      </c>
      <c r="C23" s="92"/>
    </row>
    <row r="24" spans="1:6" ht="15.75" customHeight="1" x14ac:dyDescent="0.25">
      <c r="A24" s="22" t="s">
        <v>77</v>
      </c>
      <c r="B24" s="13">
        <v>0</v>
      </c>
      <c r="C24" s="92"/>
    </row>
    <row r="25" spans="1:6" ht="15.75" customHeight="1" x14ac:dyDescent="0.25">
      <c r="A25" s="14" t="s">
        <v>46</v>
      </c>
      <c r="B25" s="13">
        <v>11996.1</v>
      </c>
      <c r="C25" s="92"/>
    </row>
    <row r="26" spans="1:6" ht="15.75" customHeight="1" x14ac:dyDescent="0.25">
      <c r="A26" s="12" t="s">
        <v>47</v>
      </c>
      <c r="B26" s="13">
        <v>0</v>
      </c>
      <c r="C26" s="92"/>
    </row>
    <row r="27" spans="1:6" ht="15.75" customHeight="1" x14ac:dyDescent="0.25">
      <c r="A27" s="16" t="s">
        <v>21</v>
      </c>
      <c r="B27" s="17">
        <f>B3-SUM(B4:B26)</f>
        <v>14513030.859999895</v>
      </c>
      <c r="C27" s="92"/>
    </row>
    <row r="28" spans="1:6" ht="15.75" customHeight="1" x14ac:dyDescent="0.25">
      <c r="A28" s="8"/>
      <c r="B28" s="10"/>
    </row>
    <row r="29" spans="1:6" ht="15.75" customHeight="1" x14ac:dyDescent="0.25">
      <c r="A29" s="12" t="s">
        <v>36</v>
      </c>
      <c r="B29" s="13">
        <v>9705164.8499999996</v>
      </c>
    </row>
    <row r="30" spans="1:6" ht="15.75" customHeight="1" x14ac:dyDescent="0.25">
      <c r="A30" s="12" t="s">
        <v>38</v>
      </c>
      <c r="B30" s="13">
        <v>327071938.5</v>
      </c>
      <c r="D30" s="4"/>
    </row>
    <row r="31" spans="1:6" ht="15.75" customHeight="1" thickBot="1" x14ac:dyDescent="0.3">
      <c r="A31" s="8"/>
      <c r="B31" s="4"/>
    </row>
    <row r="32" spans="1:6" ht="15.75" customHeight="1" x14ac:dyDescent="0.25">
      <c r="A32" s="18"/>
      <c r="B32" s="62">
        <f>B27/B30*B29/B27*100</f>
        <v>2.9672875314554079</v>
      </c>
      <c r="C32" s="70" t="s">
        <v>23</v>
      </c>
      <c r="D32" s="71">
        <f>B27/B30*B29</f>
        <v>430643.35514505242</v>
      </c>
      <c r="E32" s="70" t="s">
        <v>37</v>
      </c>
      <c r="F32" s="72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7" spans="1:1" x14ac:dyDescent="0.25">
      <c r="A37"/>
    </row>
    <row r="38" spans="1:1" x14ac:dyDescent="0.25">
      <c r="A38" s="76"/>
    </row>
  </sheetData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Footer>&amp;LZpracoval: OEC, H.Silná
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STRAVOVÁNÍ</vt:lpstr>
      <vt:lpstr>PRÁDELNA</vt:lpstr>
      <vt:lpstr>LÉKÁRNA</vt:lpstr>
      <vt:lpstr>LÉKÁRNA!Oblast_tisku</vt:lpstr>
      <vt:lpstr>PRÁDELNA!Oblast_tisku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64025</dc:creator>
  <cp:lastModifiedBy>Uživatel systému Windows</cp:lastModifiedBy>
  <cp:lastPrinted>2022-10-17T06:07:15Z</cp:lastPrinted>
  <dcterms:created xsi:type="dcterms:W3CDTF">2015-03-16T06:29:47Z</dcterms:created>
  <dcterms:modified xsi:type="dcterms:W3CDTF">2023-01-23T11:51:10Z</dcterms:modified>
</cp:coreProperties>
</file>