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 UZÁVĚRKY 2023\ UZÁVĚRKA 12_2023\DM\Daně\"/>
    </mc:Choice>
  </mc:AlternateContent>
  <xr:revisionPtr revIDLastSave="0" documentId="13_ncr:1_{8F0EB132-CE62-4223-96B5-8B532CB45943}" xr6:coauthVersionLast="36" xr6:coauthVersionMax="36" xr10:uidLastSave="{00000000-0000-0000-0000-000000000000}"/>
  <bookViews>
    <workbookView xWindow="0" yWindow="0" windowWidth="28800" windowHeight="12225" activeTab="1" xr2:uid="{9D002EC7-3354-4E2B-A3C9-61DF1A765DD5}"/>
  </bookViews>
  <sheets>
    <sheet name="Rekapitulace" sheetId="1" r:id="rId1"/>
    <sheet name="Daňové + účetní odpisy" sheetId="2" r:id="rId2"/>
    <sheet name="Daňové odpisy" sheetId="3" r:id="rId3"/>
    <sheet name="Účetní odpisy" sheetId="4" r:id="rId4"/>
    <sheet name="Vyřazeno" sheetId="5" r:id="rId5"/>
    <sheet name="ZC účetní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 l="1"/>
  <c r="E32" i="2" l="1"/>
  <c r="E30" i="2"/>
  <c r="E33" i="2"/>
  <c r="E14" i="6" l="1"/>
  <c r="D14" i="6"/>
  <c r="C14" i="6"/>
  <c r="C35" i="5"/>
  <c r="D35" i="5"/>
  <c r="E36" i="5"/>
  <c r="E35" i="5"/>
  <c r="D36" i="5"/>
  <c r="C36" i="5"/>
  <c r="E9" i="4"/>
  <c r="D9" i="4"/>
  <c r="C9" i="4"/>
  <c r="E8" i="4"/>
  <c r="D8" i="4"/>
  <c r="C8" i="4"/>
  <c r="E7" i="4"/>
  <c r="D7" i="4"/>
  <c r="C7" i="4"/>
  <c r="E6" i="4"/>
  <c r="D6" i="4"/>
  <c r="C6" i="4"/>
  <c r="E5" i="4"/>
  <c r="D5" i="4"/>
  <c r="C5" i="4"/>
  <c r="E4" i="4"/>
  <c r="D4" i="4"/>
  <c r="D10" i="4" s="1"/>
  <c r="C4" i="4"/>
  <c r="C10" i="4" s="1"/>
  <c r="E3" i="4"/>
  <c r="E10" i="4" s="1"/>
  <c r="D3" i="4"/>
  <c r="C3" i="4"/>
  <c r="E10" i="3"/>
  <c r="E9" i="3"/>
  <c r="D9" i="3"/>
  <c r="C9" i="3"/>
  <c r="E8" i="3"/>
  <c r="D8" i="3"/>
  <c r="C8" i="3"/>
  <c r="E7" i="3"/>
  <c r="D7" i="3"/>
  <c r="C7" i="3"/>
  <c r="E6" i="3"/>
  <c r="D6" i="3"/>
  <c r="C6" i="3"/>
  <c r="E5" i="3"/>
  <c r="D5" i="3"/>
  <c r="C5" i="3"/>
  <c r="E4" i="3"/>
  <c r="D4" i="3"/>
  <c r="D10" i="3" s="1"/>
  <c r="C4" i="3"/>
  <c r="C10" i="3" s="1"/>
  <c r="E3" i="3"/>
  <c r="D3" i="3"/>
  <c r="C3" i="3"/>
  <c r="D33" i="2"/>
  <c r="D32" i="2"/>
  <c r="D30" i="2"/>
  <c r="E29" i="2"/>
  <c r="D29" i="2"/>
  <c r="C29" i="2"/>
  <c r="E27" i="2"/>
  <c r="D27" i="2"/>
  <c r="C27" i="2"/>
  <c r="E26" i="2"/>
  <c r="D26" i="2"/>
  <c r="C26" i="2"/>
  <c r="E24" i="2"/>
  <c r="D24" i="2"/>
  <c r="C24" i="2"/>
  <c r="E23" i="2"/>
  <c r="D23" i="2"/>
  <c r="C23" i="2"/>
  <c r="E21" i="2"/>
  <c r="D21" i="2"/>
  <c r="C21" i="2"/>
  <c r="E20" i="2"/>
  <c r="D20" i="2"/>
  <c r="C20" i="2"/>
  <c r="E18" i="2"/>
  <c r="D18" i="2"/>
  <c r="C18" i="2"/>
  <c r="E17" i="2"/>
  <c r="D17" i="2"/>
  <c r="C17" i="2"/>
  <c r="E15" i="2"/>
  <c r="E36" i="2" s="1"/>
  <c r="D15" i="2"/>
  <c r="D36" i="2" s="1"/>
  <c r="C15" i="2"/>
  <c r="C36" i="2" s="1"/>
  <c r="E14" i="2"/>
  <c r="E35" i="2" s="1"/>
  <c r="D14" i="2"/>
  <c r="D35" i="2" s="1"/>
  <c r="C14" i="2"/>
  <c r="C35" i="2" s="1"/>
  <c r="H22" i="1" l="1"/>
  <c r="G21" i="1"/>
  <c r="E11" i="1"/>
  <c r="G20" i="1"/>
  <c r="G18" i="1"/>
  <c r="F20" i="1" l="1"/>
  <c r="E20" i="1"/>
  <c r="D20" i="1"/>
  <c r="C20" i="1"/>
  <c r="B20" i="1"/>
  <c r="F8" i="1"/>
  <c r="E8" i="1"/>
  <c r="D8" i="1"/>
  <c r="C8" i="1"/>
  <c r="B8" i="1"/>
  <c r="H8" i="1" l="1"/>
</calcChain>
</file>

<file path=xl/sharedStrings.xml><?xml version="1.0" encoding="utf-8"?>
<sst xmlns="http://schemas.openxmlformats.org/spreadsheetml/2006/main" count="197" uniqueCount="76">
  <si>
    <t>Rozdíl 4)-3)</t>
  </si>
  <si>
    <t>DM  zařazený</t>
  </si>
  <si>
    <t>ÚČETNÍ ODPIS VE VÝŠI DAŇOVÉHO</t>
  </si>
  <si>
    <t xml:space="preserve">Celkem </t>
  </si>
  <si>
    <t>Ú&gt;D odpisy</t>
  </si>
  <si>
    <t xml:space="preserve">   </t>
  </si>
  <si>
    <t>Rozdíl  ZCÚč</t>
  </si>
  <si>
    <t xml:space="preserve">(před vyřazením)  </t>
  </si>
  <si>
    <t xml:space="preserve"> a ZCDaň</t>
  </si>
  <si>
    <t>Vyřazený DM inventarizační rozdíl</t>
  </si>
  <si>
    <t>547</t>
  </si>
  <si>
    <t xml:space="preserve">Vyřazený DM - prodej </t>
  </si>
  <si>
    <t>553 90, 554 90</t>
  </si>
  <si>
    <t>Vyřazený DM bezúplatný převod</t>
  </si>
  <si>
    <t>není daň. náklad</t>
  </si>
  <si>
    <t>Vyřazený DM fyzická likvidace FL</t>
  </si>
  <si>
    <t xml:space="preserve">Vyřazený DM celkem </t>
  </si>
  <si>
    <t>Vše 55120, 55390,..</t>
  </si>
  <si>
    <r>
      <t>ZCú</t>
    </r>
    <r>
      <rPr>
        <b/>
        <sz val="11"/>
        <color theme="1"/>
        <rFont val="Calibri"/>
        <family val="2"/>
        <charset val="238"/>
      </rPr>
      <t>&gt;</t>
    </r>
    <r>
      <rPr>
        <b/>
        <sz val="11"/>
        <color theme="1"/>
        <rFont val="Calibri"/>
        <family val="2"/>
        <charset val="238"/>
        <scheme val="minor"/>
      </rPr>
      <t>ZCdaň</t>
    </r>
  </si>
  <si>
    <t>Zpracovala: Ing. Soňa Habáňová</t>
  </si>
  <si>
    <t>vedoucí Oddělení majetkového účetnictví</t>
  </si>
  <si>
    <t>FN Olomouc</t>
  </si>
  <si>
    <t>4) Úč.odp.2023</t>
  </si>
  <si>
    <t>Úč.odpis 2023</t>
  </si>
  <si>
    <t>1)  ZCDaň. 2023</t>
  </si>
  <si>
    <t>2) ZCÚč. 2023</t>
  </si>
  <si>
    <t>Podklady pro daňové přiznání daně z příjmů 2023</t>
  </si>
  <si>
    <t>REKAPITULACE DM 2023</t>
  </si>
  <si>
    <t>DM vyřazený  v r. 2023</t>
  </si>
  <si>
    <t>551 20  stana D</t>
  </si>
  <si>
    <t>551 20 MD</t>
  </si>
  <si>
    <t>Účetní odpisy zahrnují odpisy fin.darů: účet 67120001</t>
  </si>
  <si>
    <t>???</t>
  </si>
  <si>
    <t>Účetní odpisy zahrnují odpisy TRANSFER: účet 67110001</t>
  </si>
  <si>
    <t>(I022541 ZC vstoupila do PC nového I0031752)</t>
  </si>
  <si>
    <t xml:space="preserve">PCDaň. </t>
  </si>
  <si>
    <t>2023</t>
  </si>
  <si>
    <t xml:space="preserve">PCÚč. </t>
  </si>
  <si>
    <t>3) Daň.odp.</t>
  </si>
  <si>
    <t xml:space="preserve"> ZCDaň.</t>
  </si>
  <si>
    <t xml:space="preserve"> 2023</t>
  </si>
  <si>
    <t xml:space="preserve"> ZCÚč.</t>
  </si>
  <si>
    <t>Daň.odpis</t>
  </si>
  <si>
    <t>po vyřaz.</t>
  </si>
  <si>
    <t xml:space="preserve">ČESKÁ POŠTA  Ř. 20 DPPO </t>
  </si>
  <si>
    <t>Filtr sestavy:</t>
  </si>
  <si>
    <r>
      <rPr>
        <b/>
        <sz val="11"/>
        <color theme="1"/>
        <rFont val="Calibri"/>
        <family val="2"/>
        <charset val="238"/>
        <scheme val="minor"/>
      </rPr>
      <t>Stav majetku:</t>
    </r>
    <r>
      <rPr>
        <sz val="11"/>
        <color theme="1"/>
        <rFont val="Calibri"/>
        <family val="2"/>
        <charset val="238"/>
        <scheme val="minor"/>
      </rPr>
      <t xml:space="preserve">         Zařazeno+ Vyřazeno</t>
    </r>
  </si>
  <si>
    <t>Cena daň. celk. od:</t>
  </si>
  <si>
    <t xml:space="preserve">               Skup. Odp. daň. od:</t>
  </si>
  <si>
    <r>
      <rPr>
        <b/>
        <sz val="11"/>
        <color theme="1"/>
        <rFont val="Calibri"/>
        <family val="2"/>
        <charset val="238"/>
        <scheme val="minor"/>
      </rPr>
      <t>Druh majetku:</t>
    </r>
    <r>
      <rPr>
        <sz val="11"/>
        <color theme="1"/>
        <rFont val="Calibri"/>
        <family val="2"/>
        <charset val="238"/>
        <scheme val="minor"/>
      </rPr>
      <t xml:space="preserve">       Vlastní</t>
    </r>
  </si>
  <si>
    <t>Cena daň. celk. do:</t>
  </si>
  <si>
    <t xml:space="preserve">               Skup. Odp. daň. do:</t>
  </si>
  <si>
    <t>Datum pořízení od:</t>
  </si>
  <si>
    <t>Cena úč. celk. od:</t>
  </si>
  <si>
    <t xml:space="preserve">               Základní účty:</t>
  </si>
  <si>
    <t>Datum pořízení do:</t>
  </si>
  <si>
    <t>Cena úč. celk. do:</t>
  </si>
  <si>
    <t>PC daňová</t>
  </si>
  <si>
    <t>Roč. odp. daň.</t>
  </si>
  <si>
    <t>ZC daňová</t>
  </si>
  <si>
    <t>PC účetní</t>
  </si>
  <si>
    <t xml:space="preserve">Roč. odp. úč. </t>
  </si>
  <si>
    <t>ZC účetní</t>
  </si>
  <si>
    <t>Celkem za OS 0:</t>
  </si>
  <si>
    <t>D:</t>
  </si>
  <si>
    <t>U:</t>
  </si>
  <si>
    <t>Celkem za OS 1:</t>
  </si>
  <si>
    <t>Celkem za OS 2:</t>
  </si>
  <si>
    <t>Celkem za OS 3:</t>
  </si>
  <si>
    <t>Celkem za OS 4:</t>
  </si>
  <si>
    <t>Celkem za OS 5:</t>
  </si>
  <si>
    <t>Celkem za OS 6:</t>
  </si>
  <si>
    <t>Celkem za sestavu:</t>
  </si>
  <si>
    <t>Daňové odpisy 2023 - zařazeno, vyřazeno</t>
  </si>
  <si>
    <t>Účetní odpisy 2023 - zařazeno, vyřazeno</t>
  </si>
  <si>
    <r>
      <rPr>
        <b/>
        <sz val="11"/>
        <color theme="1"/>
        <rFont val="Calibri"/>
        <family val="2"/>
        <charset val="238"/>
        <scheme val="minor"/>
      </rPr>
      <t>Stav majetku:</t>
    </r>
    <r>
      <rPr>
        <sz val="11"/>
        <color theme="1"/>
        <rFont val="Calibri"/>
        <family val="2"/>
        <charset val="238"/>
        <scheme val="minor"/>
      </rPr>
      <t xml:space="preserve">        Vyřazeno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</si>
</sst>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color theme="1"/>
      <name val="Arial CE"/>
      <charset val="238"/>
    </font>
    <font>
      <sz val="11"/>
      <name val="Arial CE"/>
      <charset val="238"/>
    </font>
    <font>
      <b/>
      <sz val="10"/>
      <color theme="1"/>
      <name val="Arial CE"/>
      <charset val="238"/>
    </font>
    <font>
      <b/>
      <sz val="11"/>
      <name val="Arial CE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</font>
    <font>
      <i/>
      <u/>
      <sz val="11"/>
      <color theme="1"/>
      <name val="Calibri"/>
      <family val="2"/>
      <charset val="238"/>
      <scheme val="minor"/>
    </font>
    <font>
      <b/>
      <sz val="4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 applyFont="1"/>
    <xf numFmtId="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0" fillId="0" borderId="0" xfId="0" applyFont="1"/>
    <xf numFmtId="3" fontId="5" fillId="0" borderId="0" xfId="0" applyNumberFormat="1" applyFont="1" applyBorder="1"/>
    <xf numFmtId="3" fontId="3" fillId="0" borderId="0" xfId="0" applyNumberFormat="1" applyFont="1" applyBorder="1"/>
    <xf numFmtId="3" fontId="2" fillId="0" borderId="0" xfId="0" applyNumberFormat="1" applyFont="1" applyBorder="1"/>
    <xf numFmtId="3" fontId="0" fillId="0" borderId="0" xfId="0" applyNumberFormat="1" applyFont="1" applyBorder="1"/>
    <xf numFmtId="4" fontId="4" fillId="0" borderId="0" xfId="0" applyNumberFormat="1" applyFont="1" applyBorder="1"/>
    <xf numFmtId="3" fontId="6" fillId="0" borderId="0" xfId="0" applyNumberFormat="1" applyFont="1" applyBorder="1"/>
    <xf numFmtId="0" fontId="2" fillId="0" borderId="1" xfId="0" applyFont="1" applyBorder="1"/>
    <xf numFmtId="4" fontId="0" fillId="0" borderId="0" xfId="0" applyNumberFormat="1"/>
    <xf numFmtId="3" fontId="0" fillId="0" borderId="0" xfId="0" applyNumberFormat="1"/>
    <xf numFmtId="0" fontId="2" fillId="3" borderId="1" xfId="0" applyFont="1" applyFill="1" applyBorder="1"/>
    <xf numFmtId="3" fontId="5" fillId="3" borderId="1" xfId="0" applyNumberFormat="1" applyFont="1" applyFill="1" applyBorder="1"/>
    <xf numFmtId="3" fontId="5" fillId="2" borderId="1" xfId="0" applyNumberFormat="1" applyFont="1" applyFill="1" applyBorder="1"/>
    <xf numFmtId="3" fontId="5" fillId="3" borderId="6" xfId="0" applyNumberFormat="1" applyFont="1" applyFill="1" applyBorder="1"/>
    <xf numFmtId="3" fontId="7" fillId="3" borderId="6" xfId="0" applyNumberFormat="1" applyFont="1" applyFill="1" applyBorder="1"/>
    <xf numFmtId="0" fontId="2" fillId="3" borderId="6" xfId="0" applyFont="1" applyFill="1" applyBorder="1"/>
    <xf numFmtId="3" fontId="5" fillId="2" borderId="6" xfId="0" applyNumberFormat="1" applyFont="1" applyFill="1" applyBorder="1"/>
    <xf numFmtId="0" fontId="7" fillId="3" borderId="6" xfId="0" applyFont="1" applyFill="1" applyBorder="1"/>
    <xf numFmtId="0" fontId="2" fillId="4" borderId="6" xfId="0" applyFont="1" applyFill="1" applyBorder="1"/>
    <xf numFmtId="3" fontId="5" fillId="4" borderId="6" xfId="0" applyNumberFormat="1" applyFont="1" applyFill="1" applyBorder="1"/>
    <xf numFmtId="0" fontId="7" fillId="4" borderId="6" xfId="0" applyFont="1" applyFill="1" applyBorder="1"/>
    <xf numFmtId="0" fontId="2" fillId="5" borderId="6" xfId="0" applyFont="1" applyFill="1" applyBorder="1"/>
    <xf numFmtId="3" fontId="5" fillId="5" borderId="6" xfId="0" applyNumberFormat="1" applyFont="1" applyFill="1" applyBorder="1"/>
    <xf numFmtId="3" fontId="7" fillId="5" borderId="6" xfId="0" applyNumberFormat="1" applyFont="1" applyFill="1" applyBorder="1"/>
    <xf numFmtId="3" fontId="5" fillId="6" borderId="6" xfId="0" applyNumberFormat="1" applyFont="1" applyFill="1" applyBorder="1" applyAlignment="1">
      <alignment horizontal="left"/>
    </xf>
    <xf numFmtId="4" fontId="1" fillId="0" borderId="0" xfId="0" applyNumberFormat="1" applyFont="1"/>
    <xf numFmtId="0" fontId="2" fillId="0" borderId="7" xfId="0" applyFont="1" applyBorder="1"/>
    <xf numFmtId="3" fontId="2" fillId="0" borderId="8" xfId="0" applyNumberFormat="1" applyFont="1" applyBorder="1"/>
    <xf numFmtId="3" fontId="2" fillId="6" borderId="6" xfId="0" applyNumberFormat="1" applyFont="1" applyFill="1" applyBorder="1"/>
    <xf numFmtId="3" fontId="0" fillId="0" borderId="0" xfId="0" applyNumberFormat="1" applyFill="1" applyBorder="1"/>
    <xf numFmtId="3" fontId="0" fillId="0" borderId="0" xfId="0" applyNumberFormat="1" applyFont="1" applyFill="1" applyBorder="1"/>
    <xf numFmtId="3" fontId="0" fillId="0" borderId="0" xfId="0" applyNumberFormat="1" applyBorder="1"/>
    <xf numFmtId="3" fontId="8" fillId="0" borderId="0" xfId="0" applyNumberFormat="1" applyFont="1" applyBorder="1"/>
    <xf numFmtId="3" fontId="2" fillId="0" borderId="0" xfId="0" applyNumberFormat="1" applyFont="1" applyFill="1" applyBorder="1" applyAlignment="1">
      <alignment horizontal="left"/>
    </xf>
    <xf numFmtId="0" fontId="2" fillId="0" borderId="6" xfId="0" applyFont="1" applyFill="1" applyBorder="1"/>
    <xf numFmtId="3" fontId="3" fillId="0" borderId="1" xfId="0" applyNumberFormat="1" applyFont="1" applyFill="1" applyBorder="1"/>
    <xf numFmtId="3" fontId="9" fillId="0" borderId="2" xfId="0" applyNumberFormat="1" applyFont="1" applyFill="1" applyBorder="1"/>
    <xf numFmtId="3" fontId="9" fillId="0" borderId="7" xfId="0" applyNumberFormat="1" applyFont="1" applyFill="1" applyBorder="1"/>
    <xf numFmtId="3" fontId="8" fillId="0" borderId="6" xfId="0" applyNumberFormat="1" applyFont="1" applyFill="1" applyBorder="1"/>
    <xf numFmtId="49" fontId="5" fillId="0" borderId="6" xfId="0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2" fillId="0" borderId="4" xfId="0" applyFont="1" applyFill="1" applyBorder="1"/>
    <xf numFmtId="3" fontId="9" fillId="0" borderId="6" xfId="0" applyNumberFormat="1" applyFont="1" applyBorder="1"/>
    <xf numFmtId="3" fontId="9" fillId="3" borderId="6" xfId="0" applyNumberFormat="1" applyFont="1" applyFill="1" applyBorder="1"/>
    <xf numFmtId="3" fontId="9" fillId="0" borderId="6" xfId="0" applyNumberFormat="1" applyFont="1" applyFill="1" applyBorder="1"/>
    <xf numFmtId="3" fontId="9" fillId="0" borderId="0" xfId="0" applyNumberFormat="1" applyFont="1" applyFill="1"/>
    <xf numFmtId="49" fontId="2" fillId="3" borderId="6" xfId="0" applyNumberFormat="1" applyFont="1" applyFill="1" applyBorder="1"/>
    <xf numFmtId="3" fontId="10" fillId="0" borderId="0" xfId="0" applyNumberFormat="1" applyFont="1" applyAlignment="1">
      <alignment horizontal="right"/>
    </xf>
    <xf numFmtId="3" fontId="10" fillId="0" borderId="6" xfId="0" applyNumberFormat="1" applyFont="1" applyBorder="1" applyAlignment="1">
      <alignment horizontal="right"/>
    </xf>
    <xf numFmtId="49" fontId="2" fillId="0" borderId="6" xfId="0" applyNumberFormat="1" applyFont="1" applyFill="1" applyBorder="1"/>
    <xf numFmtId="3" fontId="0" fillId="0" borderId="6" xfId="0" applyNumberFormat="1" applyFont="1" applyFill="1" applyBorder="1"/>
    <xf numFmtId="0" fontId="2" fillId="7" borderId="6" xfId="0" applyFont="1" applyFill="1" applyBorder="1"/>
    <xf numFmtId="3" fontId="5" fillId="7" borderId="6" xfId="0" applyNumberFormat="1" applyFont="1" applyFill="1" applyBorder="1"/>
    <xf numFmtId="3" fontId="8" fillId="0" borderId="6" xfId="0" applyNumberFormat="1" applyFont="1" applyBorder="1"/>
    <xf numFmtId="49" fontId="5" fillId="7" borderId="6" xfId="0" applyNumberFormat="1" applyFont="1" applyFill="1" applyBorder="1"/>
    <xf numFmtId="3" fontId="1" fillId="0" borderId="0" xfId="0" applyNumberFormat="1" applyFont="1" applyBorder="1"/>
    <xf numFmtId="0" fontId="0" fillId="0" borderId="0" xfId="0" applyBorder="1"/>
    <xf numFmtId="4" fontId="0" fillId="0" borderId="0" xfId="0" applyNumberFormat="1" applyBorder="1"/>
    <xf numFmtId="3" fontId="8" fillId="0" borderId="0" xfId="0" applyNumberFormat="1" applyFont="1"/>
    <xf numFmtId="0" fontId="8" fillId="0" borderId="0" xfId="0" applyFont="1"/>
    <xf numFmtId="3" fontId="9" fillId="8" borderId="7" xfId="0" applyNumberFormat="1" applyFont="1" applyFill="1" applyBorder="1"/>
    <xf numFmtId="3" fontId="0" fillId="8" borderId="0" xfId="0" applyNumberFormat="1" applyFont="1" applyFill="1"/>
    <xf numFmtId="3" fontId="2" fillId="0" borderId="1" xfId="0" applyNumberFormat="1" applyFont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  <xf numFmtId="3" fontId="2" fillId="0" borderId="2" xfId="0" applyNumberFormat="1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3" fontId="5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3" fontId="5" fillId="3" borderId="2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49" fontId="0" fillId="0" borderId="3" xfId="0" applyNumberFormat="1" applyFont="1" applyBorder="1"/>
    <xf numFmtId="49" fontId="2" fillId="0" borderId="4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0" fillId="2" borderId="4" xfId="0" applyNumberFormat="1" applyFont="1" applyFill="1" applyBorder="1" applyAlignment="1">
      <alignment horizontal="center"/>
    </xf>
    <xf numFmtId="49" fontId="0" fillId="0" borderId="0" xfId="0" applyNumberFormat="1"/>
    <xf numFmtId="49" fontId="0" fillId="0" borderId="4" xfId="0" applyNumberFormat="1" applyFont="1" applyBorder="1"/>
    <xf numFmtId="49" fontId="5" fillId="0" borderId="4" xfId="0" applyNumberFormat="1" applyFont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5" fillId="3" borderId="4" xfId="0" applyNumberFormat="1" applyFont="1" applyFill="1" applyBorder="1"/>
    <xf numFmtId="49" fontId="1" fillId="0" borderId="4" xfId="0" applyNumberFormat="1" applyFont="1" applyBorder="1" applyAlignment="1">
      <alignment horizontal="center"/>
    </xf>
    <xf numFmtId="0" fontId="0" fillId="0" borderId="7" xfId="0" applyFont="1" applyBorder="1"/>
    <xf numFmtId="3" fontId="0" fillId="0" borderId="9" xfId="0" applyNumberFormat="1" applyFont="1" applyBorder="1"/>
    <xf numFmtId="0" fontId="12" fillId="0" borderId="0" xfId="0" applyFont="1"/>
    <xf numFmtId="0" fontId="1" fillId="0" borderId="0" xfId="0" applyFont="1"/>
    <xf numFmtId="0" fontId="1" fillId="9" borderId="0" xfId="0" applyFont="1" applyFill="1"/>
    <xf numFmtId="0" fontId="1" fillId="9" borderId="0" xfId="0" applyFont="1" applyFill="1" applyAlignment="1">
      <alignment horizontal="right"/>
    </xf>
    <xf numFmtId="0" fontId="1" fillId="10" borderId="0" xfId="0" applyFont="1" applyFill="1"/>
    <xf numFmtId="3" fontId="1" fillId="10" borderId="0" xfId="0" applyNumberFormat="1" applyFont="1" applyFill="1"/>
    <xf numFmtId="0" fontId="13" fillId="0" borderId="0" xfId="0" applyFont="1"/>
    <xf numFmtId="3" fontId="13" fillId="0" borderId="0" xfId="0" applyNumberFormat="1" applyFont="1"/>
    <xf numFmtId="3" fontId="1" fillId="9" borderId="0" xfId="0" applyNumberFormat="1" applyFont="1" applyFill="1"/>
    <xf numFmtId="3" fontId="14" fillId="9" borderId="0" xfId="0" applyNumberFormat="1" applyFont="1" applyFill="1"/>
    <xf numFmtId="0" fontId="0" fillId="6" borderId="0" xfId="0" applyFill="1"/>
    <xf numFmtId="0" fontId="0" fillId="9" borderId="0" xfId="0" applyFill="1"/>
    <xf numFmtId="0" fontId="1" fillId="9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3</xdr:row>
      <xdr:rowOff>171554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2621C01-31EE-44A2-A59C-C0B73748B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57825" cy="7430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4</xdr:col>
      <xdr:colOff>648458</xdr:colOff>
      <xdr:row>28</xdr:row>
      <xdr:rowOff>86162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49EA6AD-0B1D-422B-B4F7-7DC3D345C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62175"/>
          <a:ext cx="5430008" cy="31341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3</xdr:row>
      <xdr:rowOff>171554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1B47784-0E71-4E1D-B720-83D6A6467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57825" cy="7430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17</xdr:row>
      <xdr:rowOff>0</xdr:rowOff>
    </xdr:from>
    <xdr:to>
      <xdr:col>5</xdr:col>
      <xdr:colOff>581025</xdr:colOff>
      <xdr:row>26</xdr:row>
      <xdr:rowOff>28575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B4D2351-AC29-4064-A9A2-DC119F978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4191000"/>
          <a:ext cx="6038849" cy="1743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5</xdr:col>
      <xdr:colOff>581025</xdr:colOff>
      <xdr:row>33</xdr:row>
      <xdr:rowOff>133502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20CB9DF9-8AE3-4926-B5F1-E735E3412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286500"/>
          <a:ext cx="6038850" cy="10860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5</xdr:col>
      <xdr:colOff>533400</xdr:colOff>
      <xdr:row>39</xdr:row>
      <xdr:rowOff>142875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7A941A23-835B-4C7A-A61A-4878E7F6D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620000"/>
          <a:ext cx="5991225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76200</xdr:rowOff>
    </xdr:from>
    <xdr:to>
      <xdr:col>5</xdr:col>
      <xdr:colOff>590550</xdr:colOff>
      <xdr:row>43</xdr:row>
      <xdr:rowOff>76280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6F6DD458-BACC-432E-B5F0-19277B67F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8648700"/>
          <a:ext cx="6048375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5</xdr:col>
      <xdr:colOff>590550</xdr:colOff>
      <xdr:row>46</xdr:row>
      <xdr:rowOff>181080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F6A99958-8CCB-490F-ABF5-AF0473597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9144000"/>
          <a:ext cx="6048375" cy="752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028CD-D731-4AB5-AC0C-676CEAA65B3B}">
  <dimension ref="A1:K29"/>
  <sheetViews>
    <sheetView workbookViewId="0">
      <selection activeCell="G15" sqref="G15:G18"/>
    </sheetView>
  </sheetViews>
  <sheetFormatPr defaultRowHeight="15" x14ac:dyDescent="0.25"/>
  <cols>
    <col min="1" max="1" width="34.42578125" customWidth="1"/>
    <col min="2" max="2" width="10.85546875" customWidth="1"/>
    <col min="3" max="3" width="11.140625" bestFit="1" customWidth="1"/>
    <col min="4" max="4" width="11.7109375" customWidth="1"/>
    <col min="5" max="6" width="13.140625" customWidth="1"/>
    <col min="7" max="7" width="16.42578125" customWidth="1"/>
    <col min="8" max="8" width="9.85546875" customWidth="1"/>
    <col min="9" max="9" width="18" bestFit="1" customWidth="1"/>
  </cols>
  <sheetData>
    <row r="1" spans="1:11" x14ac:dyDescent="0.25">
      <c r="A1" s="1" t="s">
        <v>26</v>
      </c>
      <c r="B1" s="2"/>
      <c r="C1" s="3"/>
      <c r="D1" s="3"/>
      <c r="E1" s="4"/>
      <c r="F1" s="4"/>
      <c r="G1" s="4"/>
      <c r="H1" s="4"/>
      <c r="I1" s="5"/>
      <c r="J1" s="6"/>
      <c r="K1" s="7"/>
    </row>
    <row r="2" spans="1:11" x14ac:dyDescent="0.25">
      <c r="A2" s="8"/>
      <c r="B2" s="4"/>
      <c r="C2" s="9"/>
      <c r="D2" s="10"/>
      <c r="E2" s="11"/>
      <c r="F2" s="12"/>
      <c r="G2" s="11"/>
      <c r="H2" s="11"/>
      <c r="I2" s="13"/>
      <c r="J2" s="14"/>
      <c r="K2" s="7"/>
    </row>
    <row r="3" spans="1:11" x14ac:dyDescent="0.25">
      <c r="A3" s="15" t="s">
        <v>27</v>
      </c>
      <c r="B3" s="71" t="s">
        <v>35</v>
      </c>
      <c r="C3" s="71" t="s">
        <v>37</v>
      </c>
      <c r="D3" s="72" t="s">
        <v>38</v>
      </c>
      <c r="E3" s="73" t="s">
        <v>22</v>
      </c>
      <c r="F3" s="74" t="s">
        <v>39</v>
      </c>
      <c r="G3" s="71" t="s">
        <v>41</v>
      </c>
      <c r="H3" s="75" t="s">
        <v>0</v>
      </c>
      <c r="I3" s="5"/>
      <c r="J3" s="7"/>
      <c r="K3" s="7"/>
    </row>
    <row r="4" spans="1:11" s="88" customFormat="1" x14ac:dyDescent="0.25">
      <c r="A4" s="82"/>
      <c r="B4" s="83">
        <v>2023</v>
      </c>
      <c r="C4" s="95" t="s">
        <v>36</v>
      </c>
      <c r="D4" s="85" t="s">
        <v>36</v>
      </c>
      <c r="E4" s="85">
        <v>55110</v>
      </c>
      <c r="F4" s="86" t="s">
        <v>40</v>
      </c>
      <c r="G4" s="83" t="s">
        <v>40</v>
      </c>
      <c r="H4" s="87"/>
    </row>
    <row r="5" spans="1:11" x14ac:dyDescent="0.25">
      <c r="A5" s="18" t="s">
        <v>28</v>
      </c>
      <c r="B5" s="19"/>
      <c r="C5" s="19"/>
      <c r="D5" s="20">
        <v>101848</v>
      </c>
      <c r="E5" s="20">
        <v>227738</v>
      </c>
      <c r="F5" s="19">
        <v>310579</v>
      </c>
      <c r="G5" s="21">
        <v>3107304</v>
      </c>
      <c r="H5" s="22"/>
      <c r="I5" s="16"/>
      <c r="J5" s="17"/>
    </row>
    <row r="6" spans="1:11" x14ac:dyDescent="0.25">
      <c r="A6" s="23" t="s">
        <v>1</v>
      </c>
      <c r="B6" s="21"/>
      <c r="C6" s="21"/>
      <c r="D6" s="24">
        <v>338642677</v>
      </c>
      <c r="E6" s="24">
        <v>378463493</v>
      </c>
      <c r="F6" s="21"/>
      <c r="G6" s="21"/>
      <c r="H6" s="25"/>
      <c r="I6" s="16"/>
      <c r="J6" s="17"/>
    </row>
    <row r="7" spans="1:11" x14ac:dyDescent="0.25">
      <c r="A7" s="26" t="s">
        <v>2</v>
      </c>
      <c r="B7" s="27"/>
      <c r="C7" s="27"/>
      <c r="D7" s="27"/>
      <c r="E7" s="27"/>
      <c r="F7" s="27"/>
      <c r="G7" s="27"/>
      <c r="H7" s="28"/>
    </row>
    <row r="8" spans="1:11" x14ac:dyDescent="0.25">
      <c r="A8" s="29" t="s">
        <v>3</v>
      </c>
      <c r="B8" s="30">
        <f>SUM(B5:B6)</f>
        <v>0</v>
      </c>
      <c r="C8" s="30">
        <f>SUM(C5:C6)</f>
        <v>0</v>
      </c>
      <c r="D8" s="30">
        <f>SUM(D5:D6)</f>
        <v>338744525</v>
      </c>
      <c r="E8" s="30">
        <f>SUM(E5:E6)</f>
        <v>378691231</v>
      </c>
      <c r="F8" s="30">
        <f>SUM(F5:F6)</f>
        <v>310579</v>
      </c>
      <c r="G8" s="31"/>
      <c r="H8" s="32">
        <f>SUM(E8,-D8)</f>
        <v>39946706</v>
      </c>
      <c r="I8" s="33" t="s">
        <v>4</v>
      </c>
      <c r="J8" s="17"/>
    </row>
    <row r="9" spans="1:11" x14ac:dyDescent="0.25">
      <c r="A9" s="1"/>
      <c r="B9" s="2"/>
      <c r="C9" s="4" t="s">
        <v>5</v>
      </c>
      <c r="D9" s="4"/>
      <c r="E9" s="4"/>
      <c r="F9" s="4"/>
      <c r="G9" s="4"/>
      <c r="H9" s="4"/>
      <c r="I9" s="16"/>
      <c r="J9" s="17"/>
    </row>
    <row r="10" spans="1:11" x14ac:dyDescent="0.25">
      <c r="A10" s="34" t="s">
        <v>31</v>
      </c>
      <c r="B10" s="35"/>
      <c r="C10" s="36">
        <v>1478705.49</v>
      </c>
      <c r="D10" s="37"/>
      <c r="E10" s="38"/>
      <c r="F10" s="39"/>
      <c r="G10" s="40"/>
      <c r="H10" s="41"/>
      <c r="I10" s="16"/>
      <c r="J10" s="17"/>
    </row>
    <row r="11" spans="1:11" x14ac:dyDescent="0.25">
      <c r="A11" s="34" t="s">
        <v>33</v>
      </c>
      <c r="B11" s="35"/>
      <c r="C11" s="36">
        <v>4929</v>
      </c>
      <c r="D11" s="4" t="s">
        <v>32</v>
      </c>
      <c r="E11" s="4">
        <f>SUM(C10:C11)</f>
        <v>1483634.49</v>
      </c>
      <c r="F11" s="4"/>
      <c r="G11" s="4"/>
      <c r="H11" s="4"/>
      <c r="I11" s="16"/>
      <c r="J11" s="17"/>
    </row>
    <row r="12" spans="1:11" x14ac:dyDescent="0.25">
      <c r="A12" s="1"/>
      <c r="B12" s="2"/>
      <c r="C12" s="4"/>
      <c r="D12" s="4"/>
      <c r="E12" s="4"/>
      <c r="F12" s="4"/>
      <c r="G12" s="4"/>
      <c r="H12" s="4"/>
      <c r="I12" s="16"/>
      <c r="J12" s="17"/>
    </row>
    <row r="13" spans="1:11" x14ac:dyDescent="0.25">
      <c r="A13" s="15"/>
      <c r="B13" s="76" t="s">
        <v>35</v>
      </c>
      <c r="C13" s="77" t="s">
        <v>37</v>
      </c>
      <c r="D13" s="76" t="s">
        <v>42</v>
      </c>
      <c r="E13" s="78" t="s">
        <v>23</v>
      </c>
      <c r="F13" s="79" t="s">
        <v>24</v>
      </c>
      <c r="G13" s="80" t="s">
        <v>25</v>
      </c>
      <c r="H13" s="81" t="s">
        <v>6</v>
      </c>
      <c r="I13" s="19"/>
      <c r="J13" s="17"/>
    </row>
    <row r="14" spans="1:11" s="88" customFormat="1" x14ac:dyDescent="0.25">
      <c r="A14" s="89"/>
      <c r="B14" s="90" t="s">
        <v>36</v>
      </c>
      <c r="C14" s="84" t="s">
        <v>36</v>
      </c>
      <c r="D14" s="90" t="s">
        <v>40</v>
      </c>
      <c r="E14" s="90">
        <v>55110</v>
      </c>
      <c r="F14" s="91" t="s">
        <v>43</v>
      </c>
      <c r="G14" s="92" t="s">
        <v>7</v>
      </c>
      <c r="H14" s="93" t="s">
        <v>8</v>
      </c>
      <c r="I14" s="94"/>
    </row>
    <row r="15" spans="1:11" x14ac:dyDescent="0.25">
      <c r="A15" s="42" t="s">
        <v>9</v>
      </c>
      <c r="B15" s="43">
        <v>0</v>
      </c>
      <c r="C15" s="43">
        <v>134114</v>
      </c>
      <c r="D15" s="43">
        <v>0</v>
      </c>
      <c r="E15" s="43">
        <v>0</v>
      </c>
      <c r="F15" s="44">
        <v>0</v>
      </c>
      <c r="G15" s="69">
        <v>1341</v>
      </c>
      <c r="H15" s="46"/>
      <c r="I15" s="47" t="s">
        <v>10</v>
      </c>
      <c r="J15" s="48"/>
      <c r="K15" s="49"/>
    </row>
    <row r="16" spans="1:11" x14ac:dyDescent="0.25">
      <c r="A16" s="50" t="s">
        <v>11</v>
      </c>
      <c r="B16" s="51">
        <v>0</v>
      </c>
      <c r="C16" s="52">
        <v>5000</v>
      </c>
      <c r="D16" s="52">
        <v>0</v>
      </c>
      <c r="E16" s="53"/>
      <c r="F16" s="53">
        <v>0</v>
      </c>
      <c r="G16" s="54">
        <v>5000</v>
      </c>
      <c r="H16" s="46"/>
      <c r="I16" s="55" t="s">
        <v>12</v>
      </c>
      <c r="J16" s="17"/>
    </row>
    <row r="17" spans="1:11" x14ac:dyDescent="0.25">
      <c r="A17" s="50" t="s">
        <v>13</v>
      </c>
      <c r="B17" s="56">
        <v>60292</v>
      </c>
      <c r="C17" s="57">
        <v>60292</v>
      </c>
      <c r="D17" s="43">
        <v>7461</v>
      </c>
      <c r="E17" s="43">
        <v>7461</v>
      </c>
      <c r="F17" s="44">
        <v>49514</v>
      </c>
      <c r="G17" s="45">
        <v>49514</v>
      </c>
      <c r="H17" s="46"/>
      <c r="I17" s="58" t="s">
        <v>14</v>
      </c>
      <c r="J17" s="17"/>
    </row>
    <row r="18" spans="1:11" x14ac:dyDescent="0.25">
      <c r="A18" s="23" t="s">
        <v>15</v>
      </c>
      <c r="B18" s="52">
        <v>100684650.5</v>
      </c>
      <c r="C18" s="52">
        <v>178983226</v>
      </c>
      <c r="D18" s="52">
        <v>94387</v>
      </c>
      <c r="E18" s="53">
        <v>220277</v>
      </c>
      <c r="F18" s="69">
        <v>261065</v>
      </c>
      <c r="G18" s="69">
        <f>3051449</f>
        <v>3051449</v>
      </c>
      <c r="H18" s="59"/>
      <c r="I18" s="55" t="s">
        <v>30</v>
      </c>
      <c r="J18" s="17"/>
    </row>
    <row r="19" spans="1:11" x14ac:dyDescent="0.25">
      <c r="A19" s="23" t="s">
        <v>34</v>
      </c>
      <c r="B19" s="52"/>
      <c r="C19" s="52"/>
      <c r="D19" s="52"/>
      <c r="E19" s="53"/>
      <c r="F19" s="45"/>
      <c r="G19" s="69">
        <v>-162321</v>
      </c>
      <c r="H19" s="59"/>
      <c r="I19" s="55" t="s">
        <v>29</v>
      </c>
      <c r="J19" s="17"/>
    </row>
    <row r="20" spans="1:11" x14ac:dyDescent="0.25">
      <c r="A20" s="60" t="s">
        <v>16</v>
      </c>
      <c r="B20" s="61">
        <f>SUM(B15:B18)</f>
        <v>100744942.5</v>
      </c>
      <c r="C20" s="61">
        <f t="shared" ref="C20:F20" si="0">SUM(C15:C18)</f>
        <v>179182632</v>
      </c>
      <c r="D20" s="61">
        <f t="shared" si="0"/>
        <v>101848</v>
      </c>
      <c r="E20" s="61">
        <f t="shared" si="0"/>
        <v>227738</v>
      </c>
      <c r="F20" s="61">
        <f t="shared" si="0"/>
        <v>310579</v>
      </c>
      <c r="G20" s="61">
        <f>SUM(G15:G19)</f>
        <v>2944983</v>
      </c>
      <c r="H20" s="62"/>
      <c r="I20" s="63" t="s">
        <v>17</v>
      </c>
      <c r="J20" s="17"/>
    </row>
    <row r="21" spans="1:11" x14ac:dyDescent="0.25">
      <c r="A21" s="8"/>
      <c r="B21" s="4"/>
      <c r="C21" s="4"/>
      <c r="D21" s="4"/>
      <c r="E21" s="4"/>
      <c r="F21" s="70">
        <v>261065</v>
      </c>
      <c r="G21" s="70">
        <f>G15+G18+G19</f>
        <v>2890469</v>
      </c>
      <c r="H21" s="4"/>
      <c r="I21" s="16"/>
      <c r="J21" s="17"/>
    </row>
    <row r="22" spans="1:11" x14ac:dyDescent="0.25">
      <c r="A22" s="8"/>
      <c r="B22" s="4"/>
      <c r="C22" s="4"/>
      <c r="D22" s="4"/>
      <c r="E22" s="4"/>
      <c r="F22" s="4"/>
      <c r="G22" s="64"/>
      <c r="H22" s="64">
        <f>G21-F21</f>
        <v>2629404</v>
      </c>
      <c r="I22" s="64" t="s">
        <v>18</v>
      </c>
      <c r="J22" s="17"/>
    </row>
    <row r="23" spans="1:11" x14ac:dyDescent="0.25">
      <c r="A23" s="96" t="s">
        <v>44</v>
      </c>
      <c r="B23" s="97">
        <v>322581.2</v>
      </c>
      <c r="C23" s="12"/>
      <c r="D23" s="12"/>
      <c r="E23" s="12"/>
      <c r="F23" s="12"/>
      <c r="G23" s="65"/>
      <c r="H23" s="65"/>
      <c r="I23" s="66"/>
      <c r="J23" s="39"/>
      <c r="K23" s="65"/>
    </row>
    <row r="24" spans="1:11" x14ac:dyDescent="0.25">
      <c r="A24" s="8"/>
      <c r="B24" s="4"/>
      <c r="C24" s="4"/>
      <c r="D24" s="4"/>
      <c r="E24" s="4"/>
      <c r="F24" s="4"/>
      <c r="G24" s="4"/>
      <c r="H24" s="4"/>
      <c r="I24" s="16"/>
      <c r="J24" s="17"/>
    </row>
    <row r="25" spans="1:11" x14ac:dyDescent="0.25">
      <c r="A25" s="7" t="s">
        <v>19</v>
      </c>
      <c r="B25" s="67"/>
      <c r="C25" s="67"/>
      <c r="D25" s="67"/>
      <c r="E25" s="67"/>
      <c r="F25" s="67"/>
      <c r="G25" s="67"/>
      <c r="H25" s="67"/>
      <c r="I25" s="16"/>
      <c r="J25" s="17"/>
    </row>
    <row r="26" spans="1:11" x14ac:dyDescent="0.25">
      <c r="A26" s="7" t="s">
        <v>20</v>
      </c>
      <c r="B26" s="67"/>
      <c r="C26" s="67"/>
      <c r="D26" s="67"/>
      <c r="E26" s="67"/>
      <c r="F26" s="67"/>
      <c r="G26" s="67"/>
      <c r="H26" s="67"/>
      <c r="I26" s="16"/>
      <c r="J26" s="17"/>
    </row>
    <row r="27" spans="1:11" x14ac:dyDescent="0.25">
      <c r="A27" s="7" t="s">
        <v>21</v>
      </c>
      <c r="B27" s="67"/>
      <c r="C27" s="67"/>
      <c r="D27" s="67"/>
      <c r="E27" s="67"/>
      <c r="F27" s="67"/>
      <c r="G27" s="67"/>
      <c r="H27" s="67"/>
      <c r="I27" s="16"/>
      <c r="J27" s="17"/>
    </row>
    <row r="28" spans="1:11" x14ac:dyDescent="0.25">
      <c r="A28" s="68"/>
      <c r="B28" s="67"/>
      <c r="C28" s="67"/>
      <c r="D28" s="67"/>
      <c r="E28" s="67"/>
      <c r="F28" s="67"/>
      <c r="G28" s="67"/>
      <c r="H28" s="67"/>
      <c r="I28" s="16"/>
      <c r="J28" s="17"/>
    </row>
    <row r="29" spans="1:11" x14ac:dyDescent="0.25">
      <c r="A29" s="68"/>
      <c r="B29" s="67"/>
      <c r="C29" s="67"/>
      <c r="D29" s="67"/>
      <c r="E29" s="67"/>
      <c r="F29" s="67"/>
      <c r="G29" s="67"/>
      <c r="H29" s="67"/>
      <c r="I29" s="16"/>
      <c r="J29" s="17"/>
    </row>
  </sheetData>
  <pageMargins left="0.11811023622047245" right="0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48506-364F-403E-9A01-DA66B188A9ED}">
  <dimension ref="A6:E37"/>
  <sheetViews>
    <sheetView tabSelected="1" topLeftCell="A13" workbookViewId="0">
      <selection activeCell="C15" sqref="C15"/>
    </sheetView>
  </sheetViews>
  <sheetFormatPr defaultRowHeight="15" x14ac:dyDescent="0.25"/>
  <cols>
    <col min="1" max="1" width="27" customWidth="1"/>
    <col min="2" max="2" width="3.85546875" customWidth="1"/>
    <col min="3" max="3" width="17.7109375" customWidth="1"/>
    <col min="4" max="4" width="15" customWidth="1"/>
    <col min="5" max="5" width="18.28515625" customWidth="1"/>
  </cols>
  <sheetData>
    <row r="6" spans="1:5" x14ac:dyDescent="0.25">
      <c r="A6" s="98" t="s">
        <v>45</v>
      </c>
    </row>
    <row r="7" spans="1:5" x14ac:dyDescent="0.25">
      <c r="A7" t="s">
        <v>46</v>
      </c>
      <c r="C7" s="99" t="s">
        <v>47</v>
      </c>
      <c r="D7" s="99" t="s">
        <v>48</v>
      </c>
      <c r="E7" s="99"/>
    </row>
    <row r="8" spans="1:5" x14ac:dyDescent="0.25">
      <c r="A8" t="s">
        <v>49</v>
      </c>
      <c r="C8" s="99" t="s">
        <v>50</v>
      </c>
      <c r="D8" s="99" t="s">
        <v>51</v>
      </c>
      <c r="E8" s="99"/>
    </row>
    <row r="9" spans="1:5" x14ac:dyDescent="0.25">
      <c r="A9" s="99" t="s">
        <v>52</v>
      </c>
      <c r="C9" s="99" t="s">
        <v>53</v>
      </c>
      <c r="D9" s="99" t="s">
        <v>54</v>
      </c>
      <c r="E9" s="99"/>
    </row>
    <row r="10" spans="1:5" x14ac:dyDescent="0.25">
      <c r="A10" s="99" t="s">
        <v>55</v>
      </c>
      <c r="C10" s="99" t="s">
        <v>56</v>
      </c>
      <c r="D10" s="99"/>
      <c r="E10" s="99"/>
    </row>
    <row r="12" spans="1:5" x14ac:dyDescent="0.25">
      <c r="A12" s="100"/>
      <c r="B12" s="100"/>
      <c r="C12" s="101" t="s">
        <v>57</v>
      </c>
      <c r="D12" s="101" t="s">
        <v>58</v>
      </c>
      <c r="E12" s="101" t="s">
        <v>59</v>
      </c>
    </row>
    <row r="13" spans="1:5" x14ac:dyDescent="0.25">
      <c r="A13" s="100"/>
      <c r="B13" s="100"/>
      <c r="C13" s="101" t="s">
        <v>60</v>
      </c>
      <c r="D13" s="101" t="s">
        <v>61</v>
      </c>
      <c r="E13" s="101" t="s">
        <v>62</v>
      </c>
    </row>
    <row r="14" spans="1:5" x14ac:dyDescent="0.25">
      <c r="A14" s="102" t="s">
        <v>63</v>
      </c>
      <c r="B14" s="102" t="s">
        <v>64</v>
      </c>
      <c r="C14" s="103">
        <f>394603734+95796</f>
        <v>394699530</v>
      </c>
      <c r="D14" s="103">
        <f>6935942</f>
        <v>6935942</v>
      </c>
      <c r="E14" s="103">
        <f>254986068</f>
        <v>254986068</v>
      </c>
    </row>
    <row r="15" spans="1:5" x14ac:dyDescent="0.25">
      <c r="A15" s="102"/>
      <c r="B15" s="102" t="s">
        <v>65</v>
      </c>
      <c r="C15" s="103">
        <f>546378998+95796</f>
        <v>546474794</v>
      </c>
      <c r="D15" s="103">
        <f>20865306</f>
        <v>20865306</v>
      </c>
      <c r="E15" s="103">
        <f>321923674+958</f>
        <v>321924632</v>
      </c>
    </row>
    <row r="16" spans="1:5" x14ac:dyDescent="0.25">
      <c r="A16" s="104"/>
      <c r="B16" s="104"/>
      <c r="C16" s="105"/>
      <c r="D16" s="105"/>
      <c r="E16" s="105"/>
    </row>
    <row r="17" spans="1:5" x14ac:dyDescent="0.25">
      <c r="A17" s="102" t="s">
        <v>66</v>
      </c>
      <c r="B17" s="102" t="s">
        <v>64</v>
      </c>
      <c r="C17" s="103">
        <f>456816614+20173039</f>
        <v>476989653</v>
      </c>
      <c r="D17" s="103">
        <f>38674421</f>
        <v>38674421</v>
      </c>
      <c r="E17" s="103">
        <f>36587658</f>
        <v>36587658</v>
      </c>
    </row>
    <row r="18" spans="1:5" x14ac:dyDescent="0.25">
      <c r="A18" s="102"/>
      <c r="B18" s="102" t="s">
        <v>65</v>
      </c>
      <c r="C18" s="103">
        <f>649944962+28714424</f>
        <v>678659386</v>
      </c>
      <c r="D18" s="103">
        <f>56513679</f>
        <v>56513679</v>
      </c>
      <c r="E18" s="103">
        <f>202555924+148141</f>
        <v>202704065</v>
      </c>
    </row>
    <row r="19" spans="1:5" x14ac:dyDescent="0.25">
      <c r="A19" s="104"/>
      <c r="B19" s="104"/>
      <c r="C19" s="105"/>
      <c r="D19" s="105"/>
      <c r="E19" s="105"/>
    </row>
    <row r="20" spans="1:5" x14ac:dyDescent="0.25">
      <c r="A20" s="102" t="s">
        <v>67</v>
      </c>
      <c r="B20" s="102" t="s">
        <v>64</v>
      </c>
      <c r="C20" s="103">
        <f>1506594395+49449031</f>
        <v>1556043426</v>
      </c>
      <c r="D20" s="103">
        <f>164946086+86505</f>
        <v>165032591</v>
      </c>
      <c r="E20" s="103">
        <f>228823887+128556</f>
        <v>228952443</v>
      </c>
    </row>
    <row r="21" spans="1:5" x14ac:dyDescent="0.25">
      <c r="A21" s="102"/>
      <c r="B21" s="102" t="s">
        <v>65</v>
      </c>
      <c r="C21" s="103">
        <f>3027658174+118879524</f>
        <v>3146537698</v>
      </c>
      <c r="D21" s="103">
        <f>209693188+178052</f>
        <v>209871240</v>
      </c>
      <c r="E21" s="103">
        <f>1125337354+1758382</f>
        <v>1127095736</v>
      </c>
    </row>
    <row r="22" spans="1:5" x14ac:dyDescent="0.25">
      <c r="A22" s="104"/>
      <c r="B22" s="104"/>
      <c r="C22" s="105"/>
      <c r="D22" s="105"/>
      <c r="E22" s="105"/>
    </row>
    <row r="23" spans="1:5" x14ac:dyDescent="0.25">
      <c r="A23" s="102" t="s">
        <v>68</v>
      </c>
      <c r="B23" s="102" t="s">
        <v>64</v>
      </c>
      <c r="C23" s="103">
        <f>293862790+30813152</f>
        <v>324675942</v>
      </c>
      <c r="D23" s="103">
        <f>17257180+14493</f>
        <v>17271673</v>
      </c>
      <c r="E23" s="103">
        <f>88533398+147195</f>
        <v>88680593</v>
      </c>
    </row>
    <row r="24" spans="1:5" x14ac:dyDescent="0.25">
      <c r="A24" s="102"/>
      <c r="B24" s="102" t="s">
        <v>65</v>
      </c>
      <c r="C24" s="103">
        <f>502679273+31052607</f>
        <v>533731880</v>
      </c>
      <c r="D24" s="103">
        <f>22380052+48361</f>
        <v>22428413</v>
      </c>
      <c r="E24" s="103">
        <f>170702173+995745</f>
        <v>171697918</v>
      </c>
    </row>
    <row r="25" spans="1:5" x14ac:dyDescent="0.25">
      <c r="A25" s="104"/>
      <c r="B25" s="104"/>
      <c r="C25" s="105"/>
      <c r="D25" s="105"/>
      <c r="E25" s="105"/>
    </row>
    <row r="26" spans="1:5" x14ac:dyDescent="0.25">
      <c r="A26" s="102" t="s">
        <v>69</v>
      </c>
      <c r="B26" s="102" t="s">
        <v>64</v>
      </c>
      <c r="C26" s="103">
        <f>268489012</f>
        <v>268489012</v>
      </c>
      <c r="D26" s="103">
        <f>9888614</f>
        <v>9888614</v>
      </c>
      <c r="E26" s="103">
        <f>154583939</f>
        <v>154583939</v>
      </c>
    </row>
    <row r="27" spans="1:5" x14ac:dyDescent="0.25">
      <c r="A27" s="102"/>
      <c r="B27" s="102" t="s">
        <v>65</v>
      </c>
      <c r="C27" s="103">
        <f>404774521+226356</f>
        <v>405000877</v>
      </c>
      <c r="D27" s="103">
        <f>5333565+469</f>
        <v>5334034</v>
      </c>
      <c r="E27" s="103">
        <f>309719614+162321</f>
        <v>309881935</v>
      </c>
    </row>
    <row r="28" spans="1:5" x14ac:dyDescent="0.25">
      <c r="A28" s="104"/>
      <c r="B28" s="104"/>
      <c r="C28" s="105"/>
      <c r="D28" s="105"/>
      <c r="E28" s="105"/>
    </row>
    <row r="29" spans="1:5" x14ac:dyDescent="0.25">
      <c r="A29" s="102" t="s">
        <v>70</v>
      </c>
      <c r="B29" s="102" t="s">
        <v>64</v>
      </c>
      <c r="C29" s="103">
        <f>3105349461+213925</f>
        <v>3105563386</v>
      </c>
      <c r="D29" s="103">
        <f>99724241+850</f>
        <v>99725091</v>
      </c>
      <c r="E29" s="103">
        <f>1811738154+34828</f>
        <v>1811772982</v>
      </c>
    </row>
    <row r="30" spans="1:5" x14ac:dyDescent="0.25">
      <c r="A30" s="102"/>
      <c r="B30" s="102" t="s">
        <v>65</v>
      </c>
      <c r="C30" s="103">
        <f>5150398183+213925</f>
        <v>5150612108</v>
      </c>
      <c r="D30" s="103">
        <f>63281933+856</f>
        <v>63282789</v>
      </c>
      <c r="E30" s="103">
        <f>3738076397+41757</f>
        <v>3738118154</v>
      </c>
    </row>
    <row r="31" spans="1:5" x14ac:dyDescent="0.25">
      <c r="A31" s="104"/>
      <c r="B31" s="104"/>
      <c r="C31" s="105"/>
      <c r="D31" s="105"/>
      <c r="E31" s="105"/>
    </row>
    <row r="32" spans="1:5" x14ac:dyDescent="0.25">
      <c r="A32" s="102" t="s">
        <v>71</v>
      </c>
      <c r="B32" s="102" t="s">
        <v>64</v>
      </c>
      <c r="C32" s="103">
        <v>27990946</v>
      </c>
      <c r="D32" s="103">
        <f>1216192</f>
        <v>1216192</v>
      </c>
      <c r="E32" s="103">
        <f>21809801</f>
        <v>21809801</v>
      </c>
    </row>
    <row r="33" spans="1:5" x14ac:dyDescent="0.25">
      <c r="A33" s="102"/>
      <c r="B33" s="102" t="s">
        <v>65</v>
      </c>
      <c r="C33" s="103">
        <v>27990946</v>
      </c>
      <c r="D33" s="103">
        <f>395770</f>
        <v>395770</v>
      </c>
      <c r="E33" s="103">
        <f>25114788</f>
        <v>25114788</v>
      </c>
    </row>
    <row r="34" spans="1:5" x14ac:dyDescent="0.25">
      <c r="A34" s="104"/>
      <c r="B34" s="104"/>
      <c r="C34" s="105"/>
      <c r="D34" s="105"/>
      <c r="E34" s="105"/>
    </row>
    <row r="35" spans="1:5" x14ac:dyDescent="0.25">
      <c r="A35" s="100" t="s">
        <v>72</v>
      </c>
      <c r="B35" s="100" t="s">
        <v>64</v>
      </c>
      <c r="C35" s="106">
        <f>SUM(C14,C17,C20,C23,C26,C29,C32)-1</f>
        <v>6154451894</v>
      </c>
      <c r="D35" s="107">
        <f>SUM(D14,D17,D20,D23,D26,D29,D32)+1</f>
        <v>338744525</v>
      </c>
      <c r="E35" s="106">
        <f t="shared" ref="D35:E36" si="0">SUM(E14,E17,E20,E23,E26,E29,E32)</f>
        <v>2597373484</v>
      </c>
    </row>
    <row r="36" spans="1:5" x14ac:dyDescent="0.25">
      <c r="A36" s="100"/>
      <c r="B36" s="100" t="s">
        <v>65</v>
      </c>
      <c r="C36" s="106">
        <f>SUM(C15+C18+C21+C24+C27+C30+C33)</f>
        <v>10489007689</v>
      </c>
      <c r="D36" s="107">
        <f t="shared" si="0"/>
        <v>378691231</v>
      </c>
      <c r="E36" s="106">
        <f>SUM(E15,E18,E21,E24,E27,E30,E33)-1</f>
        <v>5896537227</v>
      </c>
    </row>
    <row r="37" spans="1:5" x14ac:dyDescent="0.25">
      <c r="C37" s="17"/>
      <c r="D37" s="17"/>
      <c r="E37" s="1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DE5DC-9C92-470A-BEE0-7692DFA15DDB}">
  <dimension ref="A1:E11"/>
  <sheetViews>
    <sheetView workbookViewId="0">
      <selection activeCell="C33" sqref="C33"/>
    </sheetView>
  </sheetViews>
  <sheetFormatPr defaultRowHeight="15" x14ac:dyDescent="0.25"/>
  <cols>
    <col min="1" max="1" width="20.42578125" customWidth="1"/>
    <col min="3" max="3" width="12.28515625" bestFit="1" customWidth="1"/>
    <col min="4" max="4" width="13.5703125" bestFit="1" customWidth="1"/>
    <col min="5" max="5" width="12.28515625" bestFit="1" customWidth="1"/>
  </cols>
  <sheetData>
    <row r="1" spans="1:5" x14ac:dyDescent="0.25">
      <c r="A1" t="s">
        <v>73</v>
      </c>
    </row>
    <row r="2" spans="1:5" x14ac:dyDescent="0.25">
      <c r="A2" s="109"/>
      <c r="B2" s="109"/>
      <c r="C2" s="110" t="s">
        <v>57</v>
      </c>
      <c r="D2" s="110" t="s">
        <v>58</v>
      </c>
      <c r="E2" s="110" t="s">
        <v>59</v>
      </c>
    </row>
    <row r="3" spans="1:5" x14ac:dyDescent="0.25">
      <c r="A3" s="102" t="s">
        <v>63</v>
      </c>
      <c r="B3" s="102" t="s">
        <v>64</v>
      </c>
      <c r="C3" s="103">
        <f>394603734+95796</f>
        <v>394699530</v>
      </c>
      <c r="D3" s="103">
        <f>6935942</f>
        <v>6935942</v>
      </c>
      <c r="E3" s="103">
        <f>254986068</f>
        <v>254986068</v>
      </c>
    </row>
    <row r="4" spans="1:5" x14ac:dyDescent="0.25">
      <c r="A4" s="102" t="s">
        <v>66</v>
      </c>
      <c r="B4" s="102" t="s">
        <v>64</v>
      </c>
      <c r="C4" s="103">
        <f>456816614+20173039</f>
        <v>476989653</v>
      </c>
      <c r="D4" s="103">
        <f>38674421</f>
        <v>38674421</v>
      </c>
      <c r="E4" s="103">
        <f>36587658</f>
        <v>36587658</v>
      </c>
    </row>
    <row r="5" spans="1:5" x14ac:dyDescent="0.25">
      <c r="A5" s="102" t="s">
        <v>67</v>
      </c>
      <c r="B5" s="102" t="s">
        <v>64</v>
      </c>
      <c r="C5" s="103">
        <f>1506594395+49449031</f>
        <v>1556043426</v>
      </c>
      <c r="D5" s="103">
        <f>164946086+86505</f>
        <v>165032591</v>
      </c>
      <c r="E5" s="103">
        <f>228823887+128556</f>
        <v>228952443</v>
      </c>
    </row>
    <row r="6" spans="1:5" x14ac:dyDescent="0.25">
      <c r="A6" s="102" t="s">
        <v>68</v>
      </c>
      <c r="B6" s="102" t="s">
        <v>64</v>
      </c>
      <c r="C6" s="103">
        <f>293862790+30813152</f>
        <v>324675942</v>
      </c>
      <c r="D6" s="103">
        <f>17257180+14493</f>
        <v>17271673</v>
      </c>
      <c r="E6" s="103">
        <f>88533398+147195</f>
        <v>88680593</v>
      </c>
    </row>
    <row r="7" spans="1:5" x14ac:dyDescent="0.25">
      <c r="A7" s="102" t="s">
        <v>69</v>
      </c>
      <c r="B7" s="102" t="s">
        <v>64</v>
      </c>
      <c r="C7" s="103">
        <f>268489012</f>
        <v>268489012</v>
      </c>
      <c r="D7" s="103">
        <f>9888614</f>
        <v>9888614</v>
      </c>
      <c r="E7" s="103">
        <f>154583939</f>
        <v>154583939</v>
      </c>
    </row>
    <row r="8" spans="1:5" x14ac:dyDescent="0.25">
      <c r="A8" s="102" t="s">
        <v>70</v>
      </c>
      <c r="B8" s="102" t="s">
        <v>64</v>
      </c>
      <c r="C8" s="103">
        <f>3105349461+213925</f>
        <v>3105563386</v>
      </c>
      <c r="D8" s="103">
        <f>99724241+850</f>
        <v>99725091</v>
      </c>
      <c r="E8" s="103">
        <f>1811738154+34828</f>
        <v>1811772982</v>
      </c>
    </row>
    <row r="9" spans="1:5" x14ac:dyDescent="0.25">
      <c r="A9" s="102" t="s">
        <v>71</v>
      </c>
      <c r="B9" s="102" t="s">
        <v>64</v>
      </c>
      <c r="C9" s="103">
        <f>27990946+213925</f>
        <v>28204871</v>
      </c>
      <c r="D9" s="103">
        <f>1216192</f>
        <v>1216192</v>
      </c>
      <c r="E9" s="103">
        <f>21809801+34828</f>
        <v>21844629</v>
      </c>
    </row>
    <row r="10" spans="1:5" x14ac:dyDescent="0.25">
      <c r="A10" s="100" t="s">
        <v>72</v>
      </c>
      <c r="B10" s="100" t="s">
        <v>64</v>
      </c>
      <c r="C10" s="106">
        <f>SUM(C3,C4,C5,C6,C7,C8,C9)-1</f>
        <v>6154665819</v>
      </c>
      <c r="D10" s="107">
        <f>SUM(D3,D4,D5,D6,D7,D8,D9)+1</f>
        <v>338744525</v>
      </c>
      <c r="E10" s="106">
        <f>SUM(E3,E4,E5,E6,E7,E8,E9)</f>
        <v>2597408312</v>
      </c>
    </row>
    <row r="11" spans="1:5" x14ac:dyDescent="0.25">
      <c r="A11" s="100"/>
      <c r="B11" s="100"/>
      <c r="C11" s="106"/>
      <c r="D11" s="107"/>
      <c r="E11" s="106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411D7-CDC7-4095-96D1-B743E70E52E9}">
  <dimension ref="A1:E10"/>
  <sheetViews>
    <sheetView workbookViewId="0">
      <selection activeCell="C10" sqref="C10:E10"/>
    </sheetView>
  </sheetViews>
  <sheetFormatPr defaultRowHeight="15" x14ac:dyDescent="0.25"/>
  <cols>
    <col min="1" max="1" width="36.5703125" bestFit="1" customWidth="1"/>
    <col min="3" max="3" width="13.42578125" bestFit="1" customWidth="1"/>
    <col min="4" max="4" width="12.5703125" bestFit="1" customWidth="1"/>
    <col min="5" max="5" width="12.28515625" bestFit="1" customWidth="1"/>
  </cols>
  <sheetData>
    <row r="1" spans="1:5" x14ac:dyDescent="0.25">
      <c r="A1" t="s">
        <v>74</v>
      </c>
    </row>
    <row r="2" spans="1:5" x14ac:dyDescent="0.25">
      <c r="A2" s="109"/>
      <c r="B2" s="109"/>
      <c r="C2" s="110" t="s">
        <v>60</v>
      </c>
      <c r="D2" s="110" t="s">
        <v>61</v>
      </c>
      <c r="E2" s="110" t="s">
        <v>62</v>
      </c>
    </row>
    <row r="3" spans="1:5" x14ac:dyDescent="0.25">
      <c r="A3" s="102" t="s">
        <v>63</v>
      </c>
      <c r="B3" s="102" t="s">
        <v>65</v>
      </c>
      <c r="C3" s="103">
        <f>546378998+95796</f>
        <v>546474794</v>
      </c>
      <c r="D3" s="103">
        <f>20865306</f>
        <v>20865306</v>
      </c>
      <c r="E3" s="103">
        <f>321923674+958</f>
        <v>321924632</v>
      </c>
    </row>
    <row r="4" spans="1:5" ht="18.75" customHeight="1" x14ac:dyDescent="0.25">
      <c r="A4" s="102" t="s">
        <v>66</v>
      </c>
      <c r="B4" s="102" t="s">
        <v>65</v>
      </c>
      <c r="C4" s="103">
        <f>649944962+28714424</f>
        <v>678659386</v>
      </c>
      <c r="D4" s="103">
        <f>56513679</f>
        <v>56513679</v>
      </c>
      <c r="E4" s="103">
        <f>202555924+148141</f>
        <v>202704065</v>
      </c>
    </row>
    <row r="5" spans="1:5" x14ac:dyDescent="0.25">
      <c r="A5" s="102" t="s">
        <v>67</v>
      </c>
      <c r="B5" s="102" t="s">
        <v>65</v>
      </c>
      <c r="C5" s="103">
        <f>3027658174+118879524</f>
        <v>3146537698</v>
      </c>
      <c r="D5" s="103">
        <f>209693188+178052</f>
        <v>209871240</v>
      </c>
      <c r="E5" s="103">
        <f>1125337354+1758382</f>
        <v>1127095736</v>
      </c>
    </row>
    <row r="6" spans="1:5" x14ac:dyDescent="0.25">
      <c r="A6" s="102" t="s">
        <v>68</v>
      </c>
      <c r="B6" s="102" t="s">
        <v>65</v>
      </c>
      <c r="C6" s="103">
        <f>502679273+31052607</f>
        <v>533731880</v>
      </c>
      <c r="D6" s="103">
        <f>22380052+48361</f>
        <v>22428413</v>
      </c>
      <c r="E6" s="103">
        <f>170702173+995745</f>
        <v>171697918</v>
      </c>
    </row>
    <row r="7" spans="1:5" x14ac:dyDescent="0.25">
      <c r="A7" s="102" t="s">
        <v>69</v>
      </c>
      <c r="B7" s="102" t="s">
        <v>65</v>
      </c>
      <c r="C7" s="103">
        <f>404774521+226356</f>
        <v>405000877</v>
      </c>
      <c r="D7" s="103">
        <f>5333565+469</f>
        <v>5334034</v>
      </c>
      <c r="E7" s="103">
        <f>309719614+162321</f>
        <v>309881935</v>
      </c>
    </row>
    <row r="8" spans="1:5" ht="16.5" customHeight="1" x14ac:dyDescent="0.25">
      <c r="A8" s="102" t="s">
        <v>70</v>
      </c>
      <c r="B8" s="102" t="s">
        <v>65</v>
      </c>
      <c r="C8" s="103">
        <f>5150398183</f>
        <v>5150398183</v>
      </c>
      <c r="D8" s="103">
        <f>63281933+856</f>
        <v>63282789</v>
      </c>
      <c r="E8" s="103">
        <f>3738076397</f>
        <v>3738076397</v>
      </c>
    </row>
    <row r="9" spans="1:5" x14ac:dyDescent="0.25">
      <c r="A9" s="102" t="s">
        <v>71</v>
      </c>
      <c r="B9" s="102" t="s">
        <v>65</v>
      </c>
      <c r="C9" s="103">
        <f>27990946+213925</f>
        <v>28204871</v>
      </c>
      <c r="D9" s="103">
        <f>395770</f>
        <v>395770</v>
      </c>
      <c r="E9" s="103">
        <f>25114788+41575</f>
        <v>25156363</v>
      </c>
    </row>
    <row r="10" spans="1:5" x14ac:dyDescent="0.25">
      <c r="A10" s="100" t="s">
        <v>72</v>
      </c>
      <c r="B10" s="109"/>
      <c r="C10" s="106">
        <f>SUM(C3:C9)</f>
        <v>10489007689</v>
      </c>
      <c r="D10" s="106">
        <f>SUM(D3:D9)</f>
        <v>378691231</v>
      </c>
      <c r="E10" s="106">
        <f>SUM(E3:E9)</f>
        <v>5896537046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64E86-0E43-4973-8E54-497F7BBA9B96}">
  <dimension ref="A6:E37"/>
  <sheetViews>
    <sheetView workbookViewId="0">
      <selection activeCell="A13" sqref="A13:E35"/>
    </sheetView>
  </sheetViews>
  <sheetFormatPr defaultRowHeight="15" x14ac:dyDescent="0.25"/>
  <cols>
    <col min="1" max="1" width="27" customWidth="1"/>
    <col min="2" max="2" width="3.85546875" customWidth="1"/>
    <col min="3" max="3" width="17.7109375" customWidth="1"/>
    <col min="4" max="4" width="15" customWidth="1"/>
    <col min="5" max="5" width="18.28515625" customWidth="1"/>
  </cols>
  <sheetData>
    <row r="6" spans="1:5" x14ac:dyDescent="0.25">
      <c r="A6" s="98" t="s">
        <v>45</v>
      </c>
    </row>
    <row r="7" spans="1:5" x14ac:dyDescent="0.25">
      <c r="A7" s="108" t="s">
        <v>75</v>
      </c>
      <c r="C7" s="99" t="s">
        <v>47</v>
      </c>
      <c r="D7" s="99" t="s">
        <v>48</v>
      </c>
      <c r="E7" s="99"/>
    </row>
    <row r="8" spans="1:5" x14ac:dyDescent="0.25">
      <c r="A8" t="s">
        <v>49</v>
      </c>
      <c r="C8" s="99" t="s">
        <v>50</v>
      </c>
      <c r="D8" s="99" t="s">
        <v>51</v>
      </c>
      <c r="E8" s="99"/>
    </row>
    <row r="9" spans="1:5" x14ac:dyDescent="0.25">
      <c r="A9" s="99" t="s">
        <v>52</v>
      </c>
      <c r="C9" s="99" t="s">
        <v>53</v>
      </c>
      <c r="D9" s="99" t="s">
        <v>54</v>
      </c>
      <c r="E9" s="99"/>
    </row>
    <row r="10" spans="1:5" x14ac:dyDescent="0.25">
      <c r="A10" s="99" t="s">
        <v>55</v>
      </c>
      <c r="C10" s="99" t="s">
        <v>56</v>
      </c>
      <c r="D10" s="99"/>
      <c r="E10" s="99"/>
    </row>
    <row r="12" spans="1:5" x14ac:dyDescent="0.25">
      <c r="A12" s="100"/>
      <c r="B12" s="100"/>
      <c r="C12" s="101" t="s">
        <v>57</v>
      </c>
      <c r="D12" s="101" t="s">
        <v>58</v>
      </c>
      <c r="E12" s="101" t="s">
        <v>59</v>
      </c>
    </row>
    <row r="13" spans="1:5" x14ac:dyDescent="0.25">
      <c r="A13" s="100"/>
      <c r="B13" s="100"/>
      <c r="C13" s="101" t="s">
        <v>60</v>
      </c>
      <c r="D13" s="101" t="s">
        <v>61</v>
      </c>
      <c r="E13" s="101" t="s">
        <v>62</v>
      </c>
    </row>
    <row r="14" spans="1:5" x14ac:dyDescent="0.25">
      <c r="A14" s="102" t="s">
        <v>63</v>
      </c>
      <c r="B14" s="102" t="s">
        <v>64</v>
      </c>
      <c r="C14" s="103">
        <v>95796</v>
      </c>
      <c r="D14" s="103">
        <v>0</v>
      </c>
      <c r="E14" s="103"/>
    </row>
    <row r="15" spans="1:5" x14ac:dyDescent="0.25">
      <c r="A15" s="102"/>
      <c r="B15" s="102" t="s">
        <v>65</v>
      </c>
      <c r="C15" s="103">
        <v>95796</v>
      </c>
      <c r="D15" s="103">
        <v>0</v>
      </c>
      <c r="E15" s="103">
        <v>958</v>
      </c>
    </row>
    <row r="16" spans="1:5" x14ac:dyDescent="0.25">
      <c r="A16" s="104"/>
      <c r="B16" s="104"/>
      <c r="C16" s="105"/>
      <c r="D16" s="105"/>
      <c r="E16" s="105"/>
    </row>
    <row r="17" spans="1:5" x14ac:dyDescent="0.25">
      <c r="A17" s="102" t="s">
        <v>66</v>
      </c>
      <c r="B17" s="102" t="s">
        <v>64</v>
      </c>
      <c r="C17" s="103">
        <v>20173039</v>
      </c>
      <c r="D17" s="103">
        <v>0</v>
      </c>
      <c r="E17" s="103">
        <v>0</v>
      </c>
    </row>
    <row r="18" spans="1:5" x14ac:dyDescent="0.25">
      <c r="A18" s="102"/>
      <c r="B18" s="102" t="s">
        <v>65</v>
      </c>
      <c r="C18" s="103">
        <v>28714424</v>
      </c>
      <c r="D18" s="103">
        <v>0</v>
      </c>
      <c r="E18" s="103">
        <v>148141</v>
      </c>
    </row>
    <row r="19" spans="1:5" x14ac:dyDescent="0.25">
      <c r="A19" s="104"/>
      <c r="B19" s="104"/>
      <c r="C19" s="105"/>
      <c r="D19" s="105"/>
      <c r="E19" s="105"/>
    </row>
    <row r="20" spans="1:5" x14ac:dyDescent="0.25">
      <c r="A20" s="102" t="s">
        <v>67</v>
      </c>
      <c r="B20" s="102" t="s">
        <v>64</v>
      </c>
      <c r="C20" s="103">
        <v>49449031</v>
      </c>
      <c r="D20" s="103">
        <v>86505</v>
      </c>
      <c r="E20" s="103">
        <v>128556</v>
      </c>
    </row>
    <row r="21" spans="1:5" x14ac:dyDescent="0.25">
      <c r="A21" s="102"/>
      <c r="B21" s="102" t="s">
        <v>65</v>
      </c>
      <c r="C21" s="103">
        <v>118879524</v>
      </c>
      <c r="D21" s="103">
        <v>178052</v>
      </c>
      <c r="E21" s="103">
        <v>1758382</v>
      </c>
    </row>
    <row r="22" spans="1:5" x14ac:dyDescent="0.25">
      <c r="A22" s="104"/>
      <c r="B22" s="104"/>
      <c r="C22" s="105"/>
      <c r="D22" s="105"/>
      <c r="E22" s="105"/>
    </row>
    <row r="23" spans="1:5" x14ac:dyDescent="0.25">
      <c r="A23" s="102" t="s">
        <v>68</v>
      </c>
      <c r="B23" s="102" t="s">
        <v>64</v>
      </c>
      <c r="C23" s="103">
        <v>30813152</v>
      </c>
      <c r="D23" s="103">
        <v>14493</v>
      </c>
      <c r="E23" s="103">
        <v>147195</v>
      </c>
    </row>
    <row r="24" spans="1:5" x14ac:dyDescent="0.25">
      <c r="A24" s="102"/>
      <c r="B24" s="102" t="s">
        <v>65</v>
      </c>
      <c r="C24" s="103">
        <v>31052607</v>
      </c>
      <c r="D24" s="103">
        <v>48361</v>
      </c>
      <c r="E24" s="103">
        <v>995745</v>
      </c>
    </row>
    <row r="25" spans="1:5" x14ac:dyDescent="0.25">
      <c r="A25" s="104"/>
      <c r="B25" s="104"/>
      <c r="C25" s="105"/>
      <c r="D25" s="105"/>
      <c r="E25" s="105"/>
    </row>
    <row r="26" spans="1:5" x14ac:dyDescent="0.25">
      <c r="A26" s="102" t="s">
        <v>69</v>
      </c>
      <c r="B26" s="102" t="s">
        <v>64</v>
      </c>
      <c r="C26" s="103">
        <v>0</v>
      </c>
      <c r="D26" s="103">
        <v>0</v>
      </c>
      <c r="E26" s="103">
        <v>0</v>
      </c>
    </row>
    <row r="27" spans="1:5" x14ac:dyDescent="0.25">
      <c r="A27" s="102"/>
      <c r="B27" s="102" t="s">
        <v>65</v>
      </c>
      <c r="C27" s="103">
        <v>226356</v>
      </c>
      <c r="D27" s="103">
        <v>469</v>
      </c>
      <c r="E27" s="103">
        <v>162321</v>
      </c>
    </row>
    <row r="28" spans="1:5" x14ac:dyDescent="0.25">
      <c r="A28" s="104"/>
      <c r="B28" s="104"/>
      <c r="C28" s="105"/>
      <c r="D28" s="105"/>
      <c r="E28" s="105"/>
    </row>
    <row r="29" spans="1:5" x14ac:dyDescent="0.25">
      <c r="A29" s="102" t="s">
        <v>70</v>
      </c>
      <c r="B29" s="102" t="s">
        <v>64</v>
      </c>
      <c r="C29" s="103">
        <v>213925</v>
      </c>
      <c r="D29" s="103">
        <v>850</v>
      </c>
      <c r="E29" s="103">
        <v>34828</v>
      </c>
    </row>
    <row r="30" spans="1:5" x14ac:dyDescent="0.25">
      <c r="A30" s="102"/>
      <c r="B30" s="102" t="s">
        <v>65</v>
      </c>
      <c r="C30" s="103">
        <v>213925</v>
      </c>
      <c r="D30" s="103">
        <v>856</v>
      </c>
      <c r="E30" s="103">
        <v>41757</v>
      </c>
    </row>
    <row r="31" spans="1:5" x14ac:dyDescent="0.25">
      <c r="A31" s="104"/>
      <c r="B31" s="104"/>
      <c r="C31" s="105"/>
      <c r="D31" s="105"/>
      <c r="E31" s="105"/>
    </row>
    <row r="32" spans="1:5" x14ac:dyDescent="0.25">
      <c r="A32" s="102" t="s">
        <v>71</v>
      </c>
      <c r="B32" s="102" t="s">
        <v>64</v>
      </c>
      <c r="C32" s="103"/>
      <c r="D32" s="103"/>
      <c r="E32" s="103"/>
    </row>
    <row r="33" spans="1:5" x14ac:dyDescent="0.25">
      <c r="A33" s="102"/>
      <c r="B33" s="102" t="s">
        <v>65</v>
      </c>
      <c r="C33" s="103"/>
      <c r="D33" s="103"/>
      <c r="E33" s="103"/>
    </row>
    <row r="34" spans="1:5" x14ac:dyDescent="0.25">
      <c r="A34" s="104"/>
      <c r="B34" s="104"/>
      <c r="C34" s="105"/>
      <c r="D34" s="105"/>
      <c r="E34" s="105"/>
    </row>
    <row r="35" spans="1:5" x14ac:dyDescent="0.25">
      <c r="A35" s="100" t="s">
        <v>72</v>
      </c>
      <c r="B35" s="100" t="s">
        <v>64</v>
      </c>
      <c r="C35" s="106">
        <f>SUM(C14,C17,C20,C23,C26,C29,C32)</f>
        <v>100744943</v>
      </c>
      <c r="D35" s="107">
        <f>SUM(D14,D17,D20,D23,D26,D29,D32)</f>
        <v>101848</v>
      </c>
      <c r="E35" s="106">
        <f t="shared" ref="D35:E36" si="0">SUM(E14,E17,E20,E23,E26,E29,E32)</f>
        <v>310579</v>
      </c>
    </row>
    <row r="36" spans="1:5" x14ac:dyDescent="0.25">
      <c r="A36" s="100"/>
      <c r="B36" s="100" t="s">
        <v>65</v>
      </c>
      <c r="C36" s="106">
        <f>SUM(C15+C18+C21+C24+C27+C30+C33)</f>
        <v>179182632</v>
      </c>
      <c r="D36" s="107">
        <f t="shared" si="0"/>
        <v>227738</v>
      </c>
      <c r="E36" s="106">
        <f>SUM(E15,E18,E21,E24,E27,E30,E33)</f>
        <v>3107304</v>
      </c>
    </row>
    <row r="37" spans="1:5" x14ac:dyDescent="0.25">
      <c r="C37" s="17"/>
      <c r="D37" s="17"/>
      <c r="E37" s="17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B9A78-5F3C-428E-9459-0E8567D867CC}">
  <dimension ref="A2:E44"/>
  <sheetViews>
    <sheetView workbookViewId="0">
      <selection activeCell="A6" sqref="A6:XFD6"/>
    </sheetView>
  </sheetViews>
  <sheetFormatPr defaultRowHeight="15" x14ac:dyDescent="0.25"/>
  <cols>
    <col min="1" max="1" width="27" customWidth="1"/>
    <col min="2" max="2" width="3.85546875" customWidth="1"/>
    <col min="3" max="3" width="17.7109375" customWidth="1"/>
    <col min="4" max="4" width="15" customWidth="1"/>
    <col min="5" max="5" width="18.28515625" customWidth="1"/>
  </cols>
  <sheetData>
    <row r="2" spans="1:5" x14ac:dyDescent="0.25">
      <c r="A2" s="98" t="s">
        <v>45</v>
      </c>
    </row>
    <row r="3" spans="1:5" x14ac:dyDescent="0.25">
      <c r="A3" s="108" t="s">
        <v>75</v>
      </c>
      <c r="C3" s="99"/>
      <c r="D3" s="99"/>
      <c r="E3" s="99"/>
    </row>
    <row r="4" spans="1:5" x14ac:dyDescent="0.25">
      <c r="A4" t="s">
        <v>49</v>
      </c>
      <c r="C4" s="99"/>
      <c r="D4" s="99"/>
      <c r="E4" s="99"/>
    </row>
    <row r="6" spans="1:5" x14ac:dyDescent="0.25">
      <c r="A6" s="100"/>
      <c r="B6" s="100"/>
      <c r="C6" s="101" t="s">
        <v>60</v>
      </c>
      <c r="D6" s="101" t="s">
        <v>61</v>
      </c>
      <c r="E6" s="101" t="s">
        <v>62</v>
      </c>
    </row>
    <row r="7" spans="1:5" x14ac:dyDescent="0.25">
      <c r="A7" s="102" t="s">
        <v>63</v>
      </c>
      <c r="B7" s="102" t="s">
        <v>65</v>
      </c>
      <c r="C7" s="103">
        <v>95796</v>
      </c>
      <c r="D7" s="103">
        <v>0</v>
      </c>
      <c r="E7" s="103">
        <v>958</v>
      </c>
    </row>
    <row r="8" spans="1:5" x14ac:dyDescent="0.25">
      <c r="A8" s="102" t="s">
        <v>66</v>
      </c>
      <c r="B8" s="102" t="s">
        <v>65</v>
      </c>
      <c r="C8" s="103">
        <v>28714424</v>
      </c>
      <c r="D8" s="103">
        <v>0</v>
      </c>
      <c r="E8" s="103">
        <v>148141</v>
      </c>
    </row>
    <row r="9" spans="1:5" x14ac:dyDescent="0.25">
      <c r="A9" s="102" t="s">
        <v>67</v>
      </c>
      <c r="B9" s="102" t="s">
        <v>65</v>
      </c>
      <c r="C9" s="103">
        <v>118879524</v>
      </c>
      <c r="D9" s="103">
        <v>178052</v>
      </c>
      <c r="E9" s="103">
        <v>1758382</v>
      </c>
    </row>
    <row r="10" spans="1:5" x14ac:dyDescent="0.25">
      <c r="A10" s="102" t="s">
        <v>68</v>
      </c>
      <c r="B10" s="102" t="s">
        <v>65</v>
      </c>
      <c r="C10" s="103">
        <v>31052607</v>
      </c>
      <c r="D10" s="103">
        <v>48361</v>
      </c>
      <c r="E10" s="103">
        <v>995745</v>
      </c>
    </row>
    <row r="11" spans="1:5" x14ac:dyDescent="0.25">
      <c r="A11" s="102" t="s">
        <v>69</v>
      </c>
      <c r="B11" s="102" t="s">
        <v>65</v>
      </c>
      <c r="C11" s="103">
        <v>226356</v>
      </c>
      <c r="D11" s="103">
        <v>469</v>
      </c>
      <c r="E11" s="103">
        <v>162321</v>
      </c>
    </row>
    <row r="12" spans="1:5" x14ac:dyDescent="0.25">
      <c r="A12" s="102" t="s">
        <v>70</v>
      </c>
      <c r="B12" s="102" t="s">
        <v>65</v>
      </c>
      <c r="C12" s="103">
        <v>213925</v>
      </c>
      <c r="D12" s="103">
        <v>856</v>
      </c>
      <c r="E12" s="103">
        <v>41757</v>
      </c>
    </row>
    <row r="13" spans="1:5" x14ac:dyDescent="0.25">
      <c r="A13" s="102" t="s">
        <v>71</v>
      </c>
      <c r="B13" s="102" t="s">
        <v>65</v>
      </c>
      <c r="C13" s="103"/>
      <c r="D13" s="103"/>
      <c r="E13" s="103"/>
    </row>
    <row r="14" spans="1:5" x14ac:dyDescent="0.25">
      <c r="A14" s="100" t="s">
        <v>72</v>
      </c>
      <c r="B14" s="100" t="s">
        <v>65</v>
      </c>
      <c r="C14" s="106">
        <f>SUM(C7:C13)</f>
        <v>179182632</v>
      </c>
      <c r="D14" s="107">
        <f>SUM(D7:D13)</f>
        <v>227738</v>
      </c>
      <c r="E14" s="106">
        <f>SUM(E7:E13)</f>
        <v>3107304</v>
      </c>
    </row>
    <row r="15" spans="1:5" x14ac:dyDescent="0.25">
      <c r="B15" s="17"/>
      <c r="C15" s="17"/>
      <c r="D15" s="17"/>
    </row>
    <row r="44" spans="1:1" x14ac:dyDescent="0.25">
      <c r="A44">
        <v>0</v>
      </c>
    </row>
  </sheetData>
  <pageMargins left="0.31496062992125984" right="0.31496062992125984" top="0.39370078740157483" bottom="0.19685039370078741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Rekapitulace</vt:lpstr>
      <vt:lpstr>Daňové + účetní odpisy</vt:lpstr>
      <vt:lpstr>Daňové odpisy</vt:lpstr>
      <vt:lpstr>Účetní odpisy</vt:lpstr>
      <vt:lpstr>Vyřazeno</vt:lpstr>
      <vt:lpstr>ZC účetní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Habáňová Soňa, Ing.</dc:creator>
  <cp:lastModifiedBy>Habáňová Soňa, Ing.</cp:lastModifiedBy>
  <cp:lastPrinted>2024-02-28T11:04:20Z</cp:lastPrinted>
  <dcterms:created xsi:type="dcterms:W3CDTF">2024-01-19T07:42:19Z</dcterms:created>
  <dcterms:modified xsi:type="dcterms:W3CDTF">2024-02-28T11:20:15Z</dcterms:modified>
</cp:coreProperties>
</file>